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1800C9DF-15F1-4238-A257-82685F098233}" xr6:coauthVersionLast="47" xr6:coauthVersionMax="47" xr10:uidLastSave="{00000000-0000-0000-0000-000000000000}"/>
  <bookViews>
    <workbookView xWindow="-120" yWindow="-120" windowWidth="29040" windowHeight="17640" xr2:uid="{00000000-000D-0000-FFFF-FFFF00000000}"/>
  </bookViews>
  <sheets>
    <sheet name="Titelblad" sheetId="24" r:id="rId1"/>
    <sheet name="Toelichting" sheetId="25" r:id="rId2"/>
    <sheet name="Bronnen en toepassingen" sheetId="26" r:id="rId3"/>
    <sheet name="Resultaat" sheetId="27" r:id="rId4"/>
    <sheet name="Dictum &amp; Bijlagen Elektriciteit" sheetId="28" r:id="rId5"/>
    <sheet name="Dictum &amp; Bijlagen Drinkwater" sheetId="29" r:id="rId6"/>
    <sheet name="Input --&gt;" sheetId="30" r:id="rId7"/>
    <sheet name="Parameters" sheetId="31" r:id="rId8"/>
    <sheet name="Gegevens kosten 2022" sheetId="32" r:id="rId9"/>
    <sheet name="Gegevens volumes 2022" sheetId="33" r:id="rId10"/>
    <sheet name="Gegevens raming 2024" sheetId="34" r:id="rId11"/>
    <sheet name="Omvangrijke gebeurtenissen 2024" sheetId="47" r:id="rId12"/>
    <sheet name="Input voor correcties" sheetId="35" r:id="rId13"/>
    <sheet name="Berekening correcties --&gt;" sheetId="37" r:id="rId14"/>
    <sheet name="Berekening volumecorrectie 2022" sheetId="38" r:id="rId15"/>
    <sheet name="Berekening profit sharing 2022" sheetId="39" r:id="rId16"/>
    <sheet name="Totaaloverzicht correcties" sheetId="40" r:id="rId17"/>
    <sheet name="Berekening tarieven --&gt;" sheetId="41" r:id="rId18"/>
    <sheet name="Berekening kostenbasis 2024" sheetId="42" r:id="rId19"/>
    <sheet name="Variabel tarief elektriciteit" sheetId="43" r:id="rId20"/>
    <sheet name="Vaste tarieven elektriciteit" sheetId="44" r:id="rId21"/>
    <sheet name="Variabel tarief drinkwater" sheetId="45" r:id="rId22"/>
    <sheet name="Vaste tarieven drinkwater" sheetId="46"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29" l="1"/>
  <c r="F55" i="29"/>
  <c r="I65" i="28"/>
  <c r="N81" i="40"/>
  <c r="N70" i="40"/>
  <c r="N78" i="40"/>
  <c r="J78" i="40" l="1"/>
  <c r="H30" i="31" l="1"/>
  <c r="H29" i="31"/>
  <c r="P80" i="42" l="1"/>
  <c r="H45" i="40"/>
  <c r="O13" i="47" l="1"/>
  <c r="N13" i="47"/>
  <c r="M13" i="47"/>
  <c r="L13" i="47"/>
  <c r="M48" i="40" l="1"/>
  <c r="N50" i="35"/>
  <c r="N51" i="40" s="1"/>
  <c r="N39" i="35"/>
  <c r="N53" i="39" s="1"/>
  <c r="H27" i="31"/>
  <c r="C40" i="44" l="1"/>
  <c r="P81" i="42"/>
  <c r="N22" i="42"/>
  <c r="M56" i="47"/>
  <c r="N56" i="47"/>
  <c r="O56" i="47"/>
  <c r="L56" i="47"/>
  <c r="N48" i="47"/>
  <c r="N54" i="42" s="1"/>
  <c r="N45" i="47"/>
  <c r="N42" i="47"/>
  <c r="N40" i="47"/>
  <c r="N41" i="47" s="1"/>
  <c r="N43" i="47" l="1"/>
  <c r="N44" i="47" s="1"/>
  <c r="N46" i="47" s="1"/>
  <c r="N52" i="42"/>
  <c r="N51" i="42" l="1"/>
  <c r="N47" i="47"/>
  <c r="N53" i="42" s="1"/>
  <c r="M34" i="47"/>
  <c r="M61" i="47" s="1"/>
  <c r="M62" i="42" s="1"/>
  <c r="M81" i="42" s="1"/>
  <c r="N34" i="47"/>
  <c r="N61" i="47" s="1"/>
  <c r="O34" i="47"/>
  <c r="O61" i="47" s="1"/>
  <c r="O62" i="42" s="1"/>
  <c r="O81" i="42" s="1"/>
  <c r="L34" i="47"/>
  <c r="L61" i="47" s="1"/>
  <c r="L62" i="42" s="1"/>
  <c r="L81" i="42" s="1"/>
  <c r="J61" i="47" l="1"/>
  <c r="N62" i="42"/>
  <c r="J34" i="47"/>
  <c r="J62" i="42" l="1"/>
  <c r="N81" i="42"/>
  <c r="J81" i="42" s="1"/>
  <c r="M27" i="47"/>
  <c r="N27" i="47"/>
  <c r="O27" i="47"/>
  <c r="L27" i="47"/>
  <c r="O51" i="47" l="1"/>
  <c r="O52" i="47" s="1"/>
  <c r="O58" i="42" s="1"/>
  <c r="O53" i="47"/>
  <c r="N51" i="47"/>
  <c r="N52" i="47" s="1"/>
  <c r="N58" i="42" s="1"/>
  <c r="N53" i="47"/>
  <c r="M51" i="47"/>
  <c r="M52" i="47" s="1"/>
  <c r="M58" i="42" s="1"/>
  <c r="M53" i="47"/>
  <c r="L51" i="47"/>
  <c r="L53" i="47"/>
  <c r="J27" i="47"/>
  <c r="M54" i="47" l="1"/>
  <c r="M55" i="47" s="1"/>
  <c r="M57" i="47" s="1"/>
  <c r="J51" i="47"/>
  <c r="L52" i="47"/>
  <c r="N54" i="47"/>
  <c r="N55" i="47" s="1"/>
  <c r="N57" i="47" s="1"/>
  <c r="J53" i="47"/>
  <c r="O54" i="47"/>
  <c r="O55" i="47" s="1"/>
  <c r="O57" i="47" s="1"/>
  <c r="N57" i="42" l="1"/>
  <c r="N58" i="47"/>
  <c r="N59" i="42" s="1"/>
  <c r="O57" i="42"/>
  <c r="O58" i="47"/>
  <c r="O59" i="42" s="1"/>
  <c r="O80" i="42" s="1"/>
  <c r="M57" i="42"/>
  <c r="M58" i="47"/>
  <c r="M59" i="42" s="1"/>
  <c r="M80" i="42" s="1"/>
  <c r="J52" i="47"/>
  <c r="L58" i="42"/>
  <c r="L54" i="47"/>
  <c r="L55" i="47" s="1"/>
  <c r="J54" i="47" l="1"/>
  <c r="J58" i="42"/>
  <c r="L57" i="47"/>
  <c r="J55" i="47"/>
  <c r="L57" i="42" l="1"/>
  <c r="L58" i="47"/>
  <c r="J57" i="47"/>
  <c r="L59" i="42" l="1"/>
  <c r="L80" i="42" s="1"/>
  <c r="J58" i="47"/>
  <c r="J57" i="42"/>
  <c r="J59" i="42" l="1"/>
  <c r="P66" i="33"/>
  <c r="O55" i="33"/>
  <c r="H57" i="46" l="1"/>
  <c r="H53" i="46"/>
  <c r="H54" i="46" s="1"/>
  <c r="H65" i="27" s="1"/>
  <c r="F28" i="29" s="1"/>
  <c r="H22" i="45"/>
  <c r="F71" i="29" s="1"/>
  <c r="H57" i="44"/>
  <c r="H53" i="44"/>
  <c r="H54" i="44" s="1"/>
  <c r="H41" i="27" s="1"/>
  <c r="G35" i="28" s="1"/>
  <c r="C39" i="44"/>
  <c r="C38" i="44"/>
  <c r="C37" i="44"/>
  <c r="C36" i="44"/>
  <c r="C35" i="44"/>
  <c r="C34" i="44"/>
  <c r="C33" i="44"/>
  <c r="C32" i="44"/>
  <c r="C31" i="44"/>
  <c r="C30" i="44"/>
  <c r="C29" i="44"/>
  <c r="C28" i="44"/>
  <c r="H33" i="43"/>
  <c r="H22" i="43"/>
  <c r="H21" i="43"/>
  <c r="N45" i="42"/>
  <c r="N39" i="42"/>
  <c r="N38" i="42"/>
  <c r="N37" i="42"/>
  <c r="O27" i="42"/>
  <c r="N27" i="42"/>
  <c r="M27" i="42"/>
  <c r="L27" i="42"/>
  <c r="P26" i="42"/>
  <c r="O26" i="42"/>
  <c r="N26" i="42"/>
  <c r="M26" i="42"/>
  <c r="L26" i="42"/>
  <c r="P25" i="42"/>
  <c r="O25" i="42"/>
  <c r="N25" i="42"/>
  <c r="M25" i="42"/>
  <c r="L25" i="42"/>
  <c r="P22" i="42"/>
  <c r="O22" i="42"/>
  <c r="M22" i="42"/>
  <c r="L22" i="42"/>
  <c r="P21" i="42"/>
  <c r="O21" i="42"/>
  <c r="N21" i="42"/>
  <c r="M21" i="42"/>
  <c r="L21" i="42"/>
  <c r="P20" i="42"/>
  <c r="O20" i="42"/>
  <c r="N20" i="42"/>
  <c r="M20" i="42"/>
  <c r="L20" i="42"/>
  <c r="P15" i="42"/>
  <c r="O15" i="42"/>
  <c r="N15" i="42"/>
  <c r="M15" i="42"/>
  <c r="L15" i="42"/>
  <c r="J72" i="40"/>
  <c r="N35" i="40"/>
  <c r="N34" i="40"/>
  <c r="N33" i="40"/>
  <c r="N32" i="40"/>
  <c r="N31" i="40"/>
  <c r="M25" i="40"/>
  <c r="P52" i="39"/>
  <c r="O52" i="39"/>
  <c r="N52" i="39"/>
  <c r="M52" i="39"/>
  <c r="L52" i="39"/>
  <c r="P51" i="39"/>
  <c r="O51" i="39"/>
  <c r="N51" i="39"/>
  <c r="M51" i="39"/>
  <c r="L51" i="39"/>
  <c r="P50" i="39"/>
  <c r="O50" i="39"/>
  <c r="N50" i="39"/>
  <c r="M50" i="39"/>
  <c r="L50" i="39"/>
  <c r="P43" i="39"/>
  <c r="O43" i="39"/>
  <c r="N43" i="39"/>
  <c r="M43" i="39"/>
  <c r="L43" i="39"/>
  <c r="P42" i="39"/>
  <c r="O42" i="39"/>
  <c r="N42" i="39"/>
  <c r="M42" i="39"/>
  <c r="L42" i="39"/>
  <c r="N36" i="39"/>
  <c r="N35" i="39"/>
  <c r="N34" i="39"/>
  <c r="O31" i="39"/>
  <c r="M31" i="39"/>
  <c r="O30" i="39"/>
  <c r="M30" i="39"/>
  <c r="N22" i="39"/>
  <c r="L20" i="39"/>
  <c r="L19" i="39"/>
  <c r="L18" i="39"/>
  <c r="H15" i="39"/>
  <c r="H14" i="39"/>
  <c r="P42" i="38"/>
  <c r="O42" i="38"/>
  <c r="M42" i="38"/>
  <c r="L34" i="38"/>
  <c r="L33" i="38"/>
  <c r="L32" i="38"/>
  <c r="L30" i="38"/>
  <c r="M51" i="38" s="1"/>
  <c r="P24" i="38"/>
  <c r="O24" i="38"/>
  <c r="N24" i="38"/>
  <c r="M24" i="38"/>
  <c r="L24" i="38"/>
  <c r="P20" i="38"/>
  <c r="O20" i="38"/>
  <c r="N20" i="38"/>
  <c r="M20" i="38"/>
  <c r="L20" i="38"/>
  <c r="J34" i="35"/>
  <c r="N83" i="34"/>
  <c r="N82" i="34"/>
  <c r="N90" i="42" s="1"/>
  <c r="M82" i="34"/>
  <c r="M90" i="42" s="1"/>
  <c r="O75" i="34"/>
  <c r="C74" i="34"/>
  <c r="C33" i="46" s="1"/>
  <c r="C73" i="34"/>
  <c r="C32" i="46" s="1"/>
  <c r="C72" i="34"/>
  <c r="C31" i="46" s="1"/>
  <c r="C71" i="34"/>
  <c r="C30" i="46" s="1"/>
  <c r="C69" i="34"/>
  <c r="C28" i="46" s="1"/>
  <c r="M37" i="34"/>
  <c r="H45" i="44" s="1"/>
  <c r="P36" i="34"/>
  <c r="P82" i="34" s="1"/>
  <c r="J73" i="29" s="1"/>
  <c r="O35" i="34"/>
  <c r="H33" i="45" s="1"/>
  <c r="M35" i="34"/>
  <c r="H40" i="43" s="1"/>
  <c r="L15" i="34"/>
  <c r="L83" i="34" s="1"/>
  <c r="L67" i="33"/>
  <c r="L27" i="39" s="1"/>
  <c r="P26" i="39"/>
  <c r="N66" i="33"/>
  <c r="L66" i="33"/>
  <c r="L26" i="39" s="1"/>
  <c r="C27" i="33"/>
  <c r="M66" i="33" s="1"/>
  <c r="M31" i="42" s="1"/>
  <c r="P42" i="32"/>
  <c r="P27" i="42" s="1"/>
  <c r="J34" i="32"/>
  <c r="J32" i="32"/>
  <c r="J18" i="32"/>
  <c r="J17" i="32"/>
  <c r="H38" i="31"/>
  <c r="H57" i="40" s="1"/>
  <c r="H37" i="31"/>
  <c r="H56" i="40" s="1"/>
  <c r="M75" i="40" s="1"/>
  <c r="J75" i="40" s="1"/>
  <c r="H24" i="31"/>
  <c r="F70" i="29"/>
  <c r="J45" i="29"/>
  <c r="H45" i="29"/>
  <c r="F45" i="29"/>
  <c r="J44" i="29"/>
  <c r="H44" i="29"/>
  <c r="F44" i="29"/>
  <c r="J43" i="29"/>
  <c r="H43" i="29"/>
  <c r="F43" i="29"/>
  <c r="F40" i="29"/>
  <c r="F37" i="29"/>
  <c r="G79" i="28"/>
  <c r="I62" i="28"/>
  <c r="I53" i="28"/>
  <c r="G53" i="28"/>
  <c r="I52" i="28"/>
  <c r="G52" i="28"/>
  <c r="I51" i="28"/>
  <c r="G51" i="28"/>
  <c r="G48" i="28"/>
  <c r="G45" i="28"/>
  <c r="G44" i="28"/>
  <c r="B19" i="25"/>
  <c r="B20" i="25" s="1"/>
  <c r="B21" i="25" s="1"/>
  <c r="B25" i="25" s="1"/>
  <c r="G46" i="28" l="1"/>
  <c r="H28" i="31"/>
  <c r="H16" i="42"/>
  <c r="N54" i="39"/>
  <c r="F46" i="29" s="1"/>
  <c r="G47" i="28"/>
  <c r="F39" i="29"/>
  <c r="H14" i="44"/>
  <c r="H58" i="44" s="1"/>
  <c r="H42" i="27" s="1"/>
  <c r="G36" i="28" s="1"/>
  <c r="H17" i="42"/>
  <c r="H14" i="46"/>
  <c r="N40" i="42"/>
  <c r="N41" i="42" s="1"/>
  <c r="N39" i="40"/>
  <c r="L21" i="39"/>
  <c r="M65" i="39" s="1"/>
  <c r="M66" i="39" s="1"/>
  <c r="J42" i="38"/>
  <c r="N38" i="40"/>
  <c r="M70" i="42"/>
  <c r="M78" i="42" s="1"/>
  <c r="J51" i="39"/>
  <c r="I80" i="28"/>
  <c r="I81" i="28"/>
  <c r="H14" i="45"/>
  <c r="H74" i="29"/>
  <c r="I82" i="28"/>
  <c r="M26" i="39"/>
  <c r="M44" i="39" s="1"/>
  <c r="L82" i="34"/>
  <c r="L90" i="42" s="1"/>
  <c r="N70" i="42"/>
  <c r="O69" i="42"/>
  <c r="O77" i="42" s="1"/>
  <c r="L69" i="42"/>
  <c r="L77" i="42" s="1"/>
  <c r="N68" i="42"/>
  <c r="N76" i="42" s="1"/>
  <c r="J52" i="39"/>
  <c r="L55" i="39"/>
  <c r="P55" i="39"/>
  <c r="M55" i="39"/>
  <c r="L31" i="38"/>
  <c r="M50" i="38" s="1"/>
  <c r="M52" i="38" s="1"/>
  <c r="C70" i="34"/>
  <c r="C29" i="46" s="1"/>
  <c r="O66" i="33"/>
  <c r="N27" i="38"/>
  <c r="N39" i="38" s="1"/>
  <c r="N40" i="38" s="1"/>
  <c r="N44" i="38" s="1"/>
  <c r="N26" i="39"/>
  <c r="N44" i="39" s="1"/>
  <c r="O82" i="34"/>
  <c r="O55" i="39"/>
  <c r="M71" i="40"/>
  <c r="J22" i="42"/>
  <c r="H43" i="46"/>
  <c r="P90" i="42"/>
  <c r="J20" i="38"/>
  <c r="L44" i="39"/>
  <c r="L61" i="39" s="1"/>
  <c r="P44" i="39"/>
  <c r="M68" i="42"/>
  <c r="M76" i="42" s="1"/>
  <c r="J21" i="42"/>
  <c r="N31" i="42"/>
  <c r="P69" i="42"/>
  <c r="P77" i="42" s="1"/>
  <c r="H58" i="46"/>
  <c r="H66" i="27" s="1"/>
  <c r="F29" i="29" s="1"/>
  <c r="L27" i="38"/>
  <c r="P27" i="38"/>
  <c r="P39" i="38" s="1"/>
  <c r="P40" i="38" s="1"/>
  <c r="P44" i="38" s="1"/>
  <c r="J42" i="39"/>
  <c r="J20" i="42"/>
  <c r="O68" i="42"/>
  <c r="O76" i="42" s="1"/>
  <c r="M69" i="42"/>
  <c r="M77" i="42" s="1"/>
  <c r="O70" i="42"/>
  <c r="O78" i="42" s="1"/>
  <c r="H23" i="44"/>
  <c r="M27" i="38"/>
  <c r="M39" i="38" s="1"/>
  <c r="M40" i="38" s="1"/>
  <c r="M44" i="38" s="1"/>
  <c r="J50" i="39"/>
  <c r="J25" i="40"/>
  <c r="L31" i="42"/>
  <c r="P31" i="42"/>
  <c r="L68" i="42"/>
  <c r="L76" i="42" s="1"/>
  <c r="P68" i="42"/>
  <c r="P76" i="42" s="1"/>
  <c r="N69" i="42"/>
  <c r="N77" i="42" s="1"/>
  <c r="L70" i="42"/>
  <c r="L78" i="42" s="1"/>
  <c r="P70" i="42"/>
  <c r="P78" i="42" s="1"/>
  <c r="N40" i="40" l="1"/>
  <c r="N80" i="42"/>
  <c r="J80" i="42" s="1"/>
  <c r="M83" i="42"/>
  <c r="P83" i="42"/>
  <c r="L83" i="42"/>
  <c r="O83" i="42"/>
  <c r="N78" i="42"/>
  <c r="J78" i="42" s="1"/>
  <c r="F38" i="29"/>
  <c r="J70" i="40"/>
  <c r="F52" i="29"/>
  <c r="H16" i="43"/>
  <c r="H25" i="43" s="1"/>
  <c r="G78" i="28"/>
  <c r="M61" i="39"/>
  <c r="M62" i="39" s="1"/>
  <c r="M21" i="40" s="1"/>
  <c r="M67" i="40" s="1"/>
  <c r="O65" i="39"/>
  <c r="O66" i="39" s="1"/>
  <c r="O22" i="40" s="1"/>
  <c r="O66" i="40" s="1"/>
  <c r="O82" i="40" s="1"/>
  <c r="N55" i="39"/>
  <c r="J55" i="39" s="1"/>
  <c r="P61" i="39"/>
  <c r="P62" i="39" s="1"/>
  <c r="P21" i="40" s="1"/>
  <c r="P66" i="40" s="1"/>
  <c r="P17" i="40"/>
  <c r="P61" i="40" s="1"/>
  <c r="J49" i="29"/>
  <c r="N17" i="40"/>
  <c r="N60" i="40" s="1"/>
  <c r="F49" i="29"/>
  <c r="M17" i="40"/>
  <c r="M62" i="40" s="1"/>
  <c r="M84" i="40" s="1"/>
  <c r="I58" i="28"/>
  <c r="J69" i="42"/>
  <c r="P72" i="42"/>
  <c r="P73" i="42" s="1"/>
  <c r="P91" i="42" s="1"/>
  <c r="J64" i="29" s="1"/>
  <c r="I61" i="28"/>
  <c r="M22" i="40"/>
  <c r="M83" i="40"/>
  <c r="J71" i="40"/>
  <c r="O26" i="39"/>
  <c r="O44" i="39" s="1"/>
  <c r="O61" i="39" s="1"/>
  <c r="O62" i="39" s="1"/>
  <c r="O31" i="42"/>
  <c r="O27" i="38"/>
  <c r="O39" i="38" s="1"/>
  <c r="O40" i="38" s="1"/>
  <c r="O44" i="38" s="1"/>
  <c r="N72" i="42"/>
  <c r="M72" i="42"/>
  <c r="J77" i="42"/>
  <c r="H23" i="46"/>
  <c r="H72" i="29" s="1"/>
  <c r="O90" i="42"/>
  <c r="J68" i="42"/>
  <c r="L72" i="42"/>
  <c r="J70" i="42"/>
  <c r="O72" i="42"/>
  <c r="M55" i="38"/>
  <c r="M54" i="38"/>
  <c r="M56" i="38" s="1"/>
  <c r="M58" i="38" s="1"/>
  <c r="L39" i="38"/>
  <c r="P92" i="42" l="1"/>
  <c r="J63" i="29" s="1"/>
  <c r="N73" i="42"/>
  <c r="M73" i="42"/>
  <c r="M91" i="42" s="1"/>
  <c r="I74" i="28" s="1"/>
  <c r="N61" i="39"/>
  <c r="N62" i="39" s="1"/>
  <c r="F50" i="29" s="1"/>
  <c r="I60" i="28"/>
  <c r="J65" i="39"/>
  <c r="J66" i="39"/>
  <c r="J22" i="40"/>
  <c r="H51" i="29"/>
  <c r="J50" i="29"/>
  <c r="J72" i="42"/>
  <c r="L73" i="42"/>
  <c r="L91" i="42" s="1"/>
  <c r="L92" i="42" s="1"/>
  <c r="O21" i="40"/>
  <c r="O67" i="40" s="1"/>
  <c r="J67" i="40" s="1"/>
  <c r="H50" i="29"/>
  <c r="J44" i="39"/>
  <c r="J60" i="40"/>
  <c r="J39" i="38"/>
  <c r="L40" i="38"/>
  <c r="L62" i="39"/>
  <c r="H30" i="45"/>
  <c r="H31" i="45" s="1"/>
  <c r="H59" i="29"/>
  <c r="M18" i="40"/>
  <c r="J18" i="40" s="1"/>
  <c r="I59" i="28"/>
  <c r="O73" i="42"/>
  <c r="O91" i="42" s="1"/>
  <c r="O92" i="42" s="1"/>
  <c r="J76" i="42"/>
  <c r="O17" i="40"/>
  <c r="O62" i="40" s="1"/>
  <c r="H49" i="29"/>
  <c r="J83" i="40"/>
  <c r="I69" i="28"/>
  <c r="H32" i="43"/>
  <c r="H36" i="43" s="1"/>
  <c r="P82" i="40"/>
  <c r="J61" i="39" l="1"/>
  <c r="M92" i="42"/>
  <c r="H19" i="44" s="1"/>
  <c r="N91" i="42"/>
  <c r="F64" i="29" s="1"/>
  <c r="N21" i="40"/>
  <c r="N65" i="40" s="1"/>
  <c r="J65" i="40" s="1"/>
  <c r="H39" i="46"/>
  <c r="O84" i="40"/>
  <c r="J84" i="40" s="1"/>
  <c r="J40" i="38"/>
  <c r="L44" i="38"/>
  <c r="J62" i="40"/>
  <c r="G74" i="28"/>
  <c r="L21" i="40"/>
  <c r="J62" i="39"/>
  <c r="G60" i="28"/>
  <c r="H64" i="29"/>
  <c r="H40" i="46"/>
  <c r="J59" i="29"/>
  <c r="H20" i="44"/>
  <c r="I70" i="28"/>
  <c r="H21" i="44" l="1"/>
  <c r="I75" i="28" s="1"/>
  <c r="F58" i="29"/>
  <c r="I73" i="28"/>
  <c r="J91" i="42"/>
  <c r="H20" i="46"/>
  <c r="H60" i="29"/>
  <c r="H41" i="46"/>
  <c r="H45" i="46" s="1"/>
  <c r="H19" i="46"/>
  <c r="H63" i="29"/>
  <c r="M66" i="40"/>
  <c r="J66" i="40" s="1"/>
  <c r="J21" i="40"/>
  <c r="J44" i="38"/>
  <c r="L17" i="40"/>
  <c r="G58" i="28"/>
  <c r="H14" i="43"/>
  <c r="G73" i="28"/>
  <c r="J81" i="40" l="1"/>
  <c r="H18" i="45"/>
  <c r="H24" i="44"/>
  <c r="H40" i="44" s="1"/>
  <c r="H44" i="42" s="1"/>
  <c r="N46" i="42" s="1"/>
  <c r="N83" i="42" s="1"/>
  <c r="N92" i="42" s="1"/>
  <c r="H21" i="46"/>
  <c r="J66" i="29"/>
  <c r="M61" i="40"/>
  <c r="M82" i="40" s="1"/>
  <c r="J17" i="40"/>
  <c r="H38" i="27"/>
  <c r="H17" i="43"/>
  <c r="H18" i="43" s="1"/>
  <c r="G75" i="28"/>
  <c r="H37" i="44" l="1"/>
  <c r="H35" i="27" s="1"/>
  <c r="H33" i="44"/>
  <c r="H31" i="27" s="1"/>
  <c r="G25" i="28" s="1"/>
  <c r="H29" i="44"/>
  <c r="H47" i="44" s="1"/>
  <c r="H32" i="44"/>
  <c r="H30" i="27" s="1"/>
  <c r="G24" i="28" s="1"/>
  <c r="H31" i="44"/>
  <c r="H29" i="27" s="1"/>
  <c r="H36" i="44"/>
  <c r="H34" i="27" s="1"/>
  <c r="G28" i="28" s="1"/>
  <c r="H30" i="44"/>
  <c r="H28" i="27" s="1"/>
  <c r="G22" i="28" s="1"/>
  <c r="H35" i="44"/>
  <c r="H33" i="27" s="1"/>
  <c r="G27" i="28" s="1"/>
  <c r="H38" i="44"/>
  <c r="H36" i="27" s="1"/>
  <c r="G30" i="28" s="1"/>
  <c r="H39" i="44"/>
  <c r="H37" i="27" s="1"/>
  <c r="G31" i="28" s="1"/>
  <c r="H34" i="44"/>
  <c r="H32" i="27" s="1"/>
  <c r="G26" i="28" s="1"/>
  <c r="H28" i="44"/>
  <c r="H26" i="27" s="1"/>
  <c r="G20" i="28" s="1"/>
  <c r="J83" i="42"/>
  <c r="H24" i="46"/>
  <c r="G29" i="28"/>
  <c r="G32" i="28"/>
  <c r="G23" i="28"/>
  <c r="F63" i="29"/>
  <c r="H17" i="45"/>
  <c r="J92" i="42"/>
  <c r="H66" i="29"/>
  <c r="H24" i="43"/>
  <c r="H17" i="27"/>
  <c r="J61" i="40"/>
  <c r="H27" i="27" l="1"/>
  <c r="H33" i="46"/>
  <c r="H62" i="27" s="1"/>
  <c r="G9" i="28"/>
  <c r="H30" i="46"/>
  <c r="H59" i="27" s="1"/>
  <c r="H29" i="46"/>
  <c r="H58" i="27" s="1"/>
  <c r="H28" i="46"/>
  <c r="H57" i="27" s="1"/>
  <c r="H32" i="46"/>
  <c r="H61" i="27" s="1"/>
  <c r="H31" i="46"/>
  <c r="H60" i="27" s="1"/>
  <c r="H19" i="45"/>
  <c r="G21" i="28"/>
  <c r="H18" i="27"/>
  <c r="H31" i="43"/>
  <c r="J82" i="40"/>
  <c r="I68" i="28"/>
  <c r="H35" i="43" l="1"/>
  <c r="H38" i="43" s="1"/>
  <c r="H42" i="43" s="1"/>
  <c r="H43" i="43" s="1"/>
  <c r="F25" i="29"/>
  <c r="F22" i="29"/>
  <c r="F24" i="29"/>
  <c r="F23" i="29"/>
  <c r="F20" i="29"/>
  <c r="F21" i="29"/>
  <c r="F66" i="29"/>
  <c r="H21" i="45" l="1"/>
  <c r="H21" i="27"/>
  <c r="H46" i="44"/>
  <c r="H48" i="44" l="1"/>
  <c r="H23" i="45"/>
  <c r="F67" i="29" s="1"/>
  <c r="G15" i="28"/>
  <c r="H25" i="45" l="1"/>
  <c r="H26" i="45" s="1"/>
  <c r="H22" i="27"/>
  <c r="H46" i="46" l="1"/>
  <c r="H47" i="46" s="1"/>
  <c r="H48" i="46" s="1"/>
  <c r="H53" i="27" s="1"/>
  <c r="F16" i="29" s="1"/>
  <c r="H34" i="45"/>
  <c r="H35" i="45" s="1"/>
  <c r="H49" i="27"/>
  <c r="F9" i="29" s="1"/>
  <c r="G16" i="28"/>
  <c r="H52" i="27" l="1"/>
  <c r="F1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5" authorId="0" shapeId="0" xr:uid="{A03CFC53-4A00-4DF2-A6DC-B9E906B954DF}">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P42" authorId="0" shapeId="0" xr:uid="{2C94E056-47FF-4526-B29D-35C720D37605}">
      <text>
        <r>
          <rPr>
            <sz val="8"/>
            <color indexed="81"/>
            <rFont val="Tahoma"/>
            <family val="2"/>
          </rPr>
          <t>Percentaqe niet afzonderlijk bepaald voor drinkwater per truck. Aanname: gelijkgesteld aan drinkwater via het netwerk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24" authorId="0" shapeId="0" xr:uid="{0EC6F891-CAD8-46E9-A6C0-B58AF5C44872}">
      <text>
        <r>
          <rPr>
            <sz val="8"/>
            <color indexed="81"/>
            <rFont val="Tahoma"/>
            <family val="2"/>
          </rPr>
          <t xml:space="preserve">Voor de categorieën 3*25 en 3*35 wordt een rekencapaciteit van 4,4 gehanteerd (in plaats van de hogere technische capaciteit)
</t>
        </r>
      </text>
    </comment>
    <comment ref="M42" authorId="0" shapeId="0" xr:uid="{27B835B7-738A-4665-BAD7-96E450095A6C}">
      <text>
        <r>
          <rPr>
            <sz val="8"/>
            <color indexed="81"/>
            <rFont val="Tahoma"/>
            <family val="2"/>
          </rPr>
          <t>Op basis van vastgesteld gemiddeld verwacht verbruik van 2500 kWh per aansluiting.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C72" authorId="0" shapeId="0" xr:uid="{DA82051F-9909-4791-A65D-B791728DDC41}">
      <text>
        <r>
          <rPr>
            <sz val="9"/>
            <color indexed="81"/>
            <rFont val="Tahoma"/>
            <family val="2"/>
          </rPr>
          <t xml:space="preserve">Nieuwe categorie. Rekencapaciteit voorgesteld door WEB, overgenomen door ACM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N18" authorId="0" shapeId="0" xr:uid="{A83FB4E4-D214-4F20-8BFD-4FFFA1D25DA5}">
      <text>
        <r>
          <rPr>
            <sz val="8"/>
            <color indexed="81"/>
            <rFont val="Tahoma"/>
            <family val="2"/>
          </rPr>
          <t>Inclusief kosten nieuwe drinkwaterfaciliteit (kapitaalkosten en OPEX)  en kosten elektriciteitsaansluiting (dit betreft allemaal vaste kosten)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L60" authorId="0" shapeId="0" xr:uid="{3D59FE46-2616-4722-A7FC-B257DD62556F}">
      <text>
        <r>
          <rPr>
            <sz val="8"/>
            <color indexed="81"/>
            <rFont val="Tahoma"/>
            <family val="2"/>
          </rPr>
          <t xml:space="preserve">Correctiebedragen die zien op productie elektriciteit gaan mee in totale correctie op variabel gebruikstarief elektriciteit
</t>
        </r>
      </text>
    </comment>
    <comment ref="M61" authorId="0" shapeId="0" xr:uid="{DE378580-9D49-49B3-8FD2-F6EC2AFAF4F8}">
      <text>
        <r>
          <rPr>
            <sz val="8"/>
            <color indexed="81"/>
            <rFont val="Tahoma"/>
            <family val="2"/>
          </rPr>
          <t xml:space="preserve">Correctiebedragen die zien op productie elektriciteit gaan mee in totale correctie op variabel gebruikstarief elektriciteit
</t>
        </r>
      </text>
    </comment>
    <comment ref="L65" authorId="0" shapeId="0" xr:uid="{6C1D365B-7372-4600-ACC1-A4DBF03B34A0}">
      <text>
        <r>
          <rPr>
            <sz val="8"/>
            <color indexed="81"/>
            <rFont val="Tahoma"/>
            <family val="2"/>
          </rPr>
          <t xml:space="preserve">Correctiebedragen die zien op productie elektriciteit gaan mee in totale correctie op variabel gebruikstarief elektriciteit
</t>
        </r>
      </text>
    </comment>
    <comment ref="M66" authorId="0" shapeId="0" xr:uid="{73A3DA2C-E4E3-4F1D-87E7-CA9877540A4C}">
      <text>
        <r>
          <rPr>
            <sz val="8"/>
            <color indexed="81"/>
            <rFont val="Tahoma"/>
            <family val="2"/>
          </rPr>
          <t xml:space="preserve">Correctiebedragen die zien op productie elektriciteit gaan mee in totale correctie op variabel gebruikstarief elektriciteit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N83" authorId="0" shapeId="0" xr:uid="{FFD42133-F7A0-4EAB-A9A0-CBF1D50503B6}">
      <text>
        <r>
          <rPr>
            <sz val="8"/>
            <color indexed="81"/>
            <rFont val="Tahoma"/>
            <family val="2"/>
          </rPr>
          <t>Inclusief kosten elektriciteitsaansluiting</t>
        </r>
      </text>
    </comment>
  </commentList>
</comments>
</file>

<file path=xl/sharedStrings.xml><?xml version="1.0" encoding="utf-8"?>
<sst xmlns="http://schemas.openxmlformats.org/spreadsheetml/2006/main" count="1729" uniqueCount="775">
  <si>
    <t>Titelblad</t>
  </si>
  <si>
    <t>Over dit bestand</t>
  </si>
  <si>
    <t>Zaaknummer</t>
  </si>
  <si>
    <t>Titel</t>
  </si>
  <si>
    <t>Hoort bij besluit(en):</t>
  </si>
  <si>
    <t>Kenmerk besluit(en)</t>
  </si>
  <si>
    <t>Samenhang met andere rekenbestanden</t>
  </si>
  <si>
    <t>Overig opmerkingen</t>
  </si>
  <si>
    <t>Over de status van dit bestand</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</si>
  <si>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</si>
  <si>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</si>
  <si>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</si>
  <si>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</si>
  <si>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</si>
  <si>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</si>
  <si>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</si>
  <si>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</si>
  <si>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</si>
  <si>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</si>
  <si>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</si>
  <si>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</si>
  <si>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</si>
  <si>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</si>
  <si>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</si>
  <si>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</si>
  <si>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</si>
  <si>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</si>
  <si>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</si>
  <si>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</si>
  <si>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</si>
  <si>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</si>
  <si>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</si>
  <si>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</si>
  <si>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</si>
  <si>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</si>
  <si>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</si>
  <si>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</si>
  <si>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</si>
  <si>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</si>
  <si>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</si>
  <si>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Rijtotaal</t>
  </si>
  <si>
    <t>Toelichting bij dit bestand</t>
  </si>
  <si>
    <t>Nr.</t>
  </si>
  <si>
    <t xml:space="preserve">Verkorte naam </t>
  </si>
  <si>
    <t>Beschrijving berekening</t>
  </si>
  <si>
    <t>Beschrijving resultaat</t>
  </si>
  <si>
    <t>Zoals gebruikt in dit bestand</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</si>
  <si>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</si>
  <si>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</si>
  <si>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Mogelijkheden van bezwaar en beroep staan open tegen het besluit waarbij dit bestand hoort (zie kenmerken hierboven)</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</si>
  <si>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</si>
  <si>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</si>
  <si>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</si>
  <si>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</si>
  <si>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</si>
  <si>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</si>
  <si>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</si>
  <si>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</si>
  <si>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</si>
  <si>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</si>
  <si>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</si>
  <si>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</si>
  <si>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</si>
  <si>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</si>
  <si>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</si>
  <si>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</si>
  <si>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zie onder</t>
  </si>
  <si>
    <t>Besluit</t>
  </si>
  <si>
    <t>Kenmerk besluit</t>
  </si>
  <si>
    <t>Ja</t>
  </si>
  <si>
    <t>Op het tabblad 'Resultaat' worden alle tarieven weergegeven, op de tabbladen 'Dictum&amp;Bijlage 1 (E/DW)' staat tevens een samenvatting van de belangrijkste gegevens die volgen uit de berekening.</t>
  </si>
  <si>
    <t>Per tabblad is ook nog een toelichting opgenomen over de belangrijkste rekenstappen of bijzonderheden.</t>
  </si>
  <si>
    <t>CBS inflatie Caribisch Nederland</t>
  </si>
  <si>
    <t>https://opendata.cbs.nl/#/CBS/nl/dataset/84046NED/table</t>
  </si>
  <si>
    <t>Maatwerkanalyse CBS cpi CNL excl. Covid-subsidies (2017 = 100)</t>
  </si>
  <si>
    <t>https://www.cbs.nl/nl-nl/maatwerk/2021/45/cpi-caribisch-nederland-exclusief-covid-19-toeslagen</t>
  </si>
  <si>
    <t>Besluit WACC voor 2020-2022</t>
  </si>
  <si>
    <t>ACM/18/034526, ACM/UIT/519576</t>
  </si>
  <si>
    <t>https://www.acm.nl/sites/default/files/documents/2019-09/besluit-wacc-caribisch-nederland-2020-2025.pdf</t>
  </si>
  <si>
    <t>Besluit WACC voor 2023-2025</t>
  </si>
  <si>
    <t>ACM/21/167703</t>
  </si>
  <si>
    <t>https://www.acm.nl/nl/publicaties/wacc-elektriciteit-en-drinkwater-caribisch-nederland-2023-2025</t>
  </si>
  <si>
    <t>Wettelijke rente CNL</t>
  </si>
  <si>
    <t>https://wetten.overheid.nl/BWBR0030649/2011-11-18</t>
  </si>
  <si>
    <t>Tarievenberekening WEB voor 2022</t>
  </si>
  <si>
    <t>ACM/21/052520</t>
  </si>
  <si>
    <t>https://www.acm.nl/nl/publicaties/beschikking-productieprijs-elektriciteit-2022-bonaire-web-caribisch-nederland</t>
  </si>
  <si>
    <t>Berekening variabel gebruikstarief elektriciteit WEB vanaf 1 juli 2022</t>
  </si>
  <si>
    <t>Beschikking variabel tarief elektriciteit 1 juli 2022 Bonaire (Caribisch Nederland) | ACM.nl</t>
  </si>
  <si>
    <t xml:space="preserve">Beantwoording informatieverzoek vraag 1 - 9 </t>
  </si>
  <si>
    <t>Beantwoording informatieverzoek vraag 10 - 15</t>
  </si>
  <si>
    <t xml:space="preserve">Beantwoording informatieverzoek vraag 16 - 19 </t>
  </si>
  <si>
    <t>Analyse drinkwaterproductierendement 5 december 2022</t>
  </si>
  <si>
    <t>Analyse WEB over DE productie 2022 t/m oktober, toegestuurd aan ACM op 5 december 2022</t>
  </si>
  <si>
    <t>Periode van toepassing</t>
  </si>
  <si>
    <t>Productieprijzen</t>
  </si>
  <si>
    <t>Productieprijs voor productie WEB</t>
  </si>
  <si>
    <t>USD, pp 2023 / kWh</t>
  </si>
  <si>
    <t>maandelijkse aanpassing</t>
  </si>
  <si>
    <t>Variabele distributietarieven</t>
  </si>
  <si>
    <t>Pagabontarief elektriciteit</t>
  </si>
  <si>
    <t>Vaste distributietarieven elektriciteit</t>
  </si>
  <si>
    <t>Aansluitcategorie</t>
  </si>
  <si>
    <t>Rekencapaciteit</t>
  </si>
  <si>
    <t>1*25</t>
  </si>
  <si>
    <t>3*25</t>
  </si>
  <si>
    <t>3*35</t>
  </si>
  <si>
    <t>3*50</t>
  </si>
  <si>
    <t>3*63</t>
  </si>
  <si>
    <t>3*80</t>
  </si>
  <si>
    <t>3*100</t>
  </si>
  <si>
    <t>3*125</t>
  </si>
  <si>
    <t>3*80 (380Volt)</t>
  </si>
  <si>
    <t>3*160</t>
  </si>
  <si>
    <t>3*100 (380Volt)</t>
  </si>
  <si>
    <t>3*200</t>
  </si>
  <si>
    <t xml:space="preserve">Grootverbruikers </t>
  </si>
  <si>
    <t>Aansluittarieven</t>
  </si>
  <si>
    <t>Heraansluittarief</t>
  </si>
  <si>
    <t>USD, pp 2023</t>
  </si>
  <si>
    <t>Aansluittarief (standaardaansluiting)</t>
  </si>
  <si>
    <t>Tarief voor meerlengte valt onder maatwerk</t>
  </si>
  <si>
    <t>Productieprijs</t>
  </si>
  <si>
    <t>USD, pp 2023 / m3</t>
  </si>
  <si>
    <t>Variabel distributietarief</t>
  </si>
  <si>
    <t>Tarief voor levering drinkwater per truck</t>
  </si>
  <si>
    <t>Vaste distributietarieven drinkwater</t>
  </si>
  <si>
    <t>1/2 ''</t>
  </si>
  <si>
    <t>3/4 ''</t>
  </si>
  <si>
    <t>1''</t>
  </si>
  <si>
    <t>1 1/4"</t>
  </si>
  <si>
    <t>2''</t>
  </si>
  <si>
    <t>4''</t>
  </si>
  <si>
    <t>Dictum en Bijlagen Besluit: tarieven en belangrijkste gegevens Elektriciteit</t>
  </si>
  <si>
    <t>Tarieven voor in het dictum van het besluit over productieprijs</t>
  </si>
  <si>
    <t>Productieprijs WEB excl. brandstofkosten</t>
  </si>
  <si>
    <t>Tarief</t>
  </si>
  <si>
    <t>Variabel gebruikstarief</t>
  </si>
  <si>
    <t>Vaste gebruikstarieven elektriciteit</t>
  </si>
  <si>
    <t xml:space="preserve">grootverbruikers </t>
  </si>
  <si>
    <t xml:space="preserve">Eenheid </t>
  </si>
  <si>
    <t>Parameters</t>
  </si>
  <si>
    <t>%</t>
  </si>
  <si>
    <t>Geschatte inflatie 2022</t>
  </si>
  <si>
    <t>Geschatte inflatie 2023</t>
  </si>
  <si>
    <t>Percentage voor profit sharing</t>
  </si>
  <si>
    <t>Elektriciteit productie</t>
  </si>
  <si>
    <t>Elektriciteit distributie</t>
  </si>
  <si>
    <t>Reguliere correcties</t>
  </si>
  <si>
    <t>USD, pp 2022</t>
  </si>
  <si>
    <t>Correctiebedragen per tarief</t>
  </si>
  <si>
    <t>Correctiebedrag te verrekenen in vast gebruikstarief</t>
  </si>
  <si>
    <t xml:space="preserve">   waarvan bedrag aan variabele kosten</t>
  </si>
  <si>
    <t>kWh</t>
  </si>
  <si>
    <t>Totale geraamde netwerkcapaciteit (in aansluitwaarde)</t>
  </si>
  <si>
    <t>kVA</t>
  </si>
  <si>
    <t>Rekenwaarde Pagabonverbruik</t>
  </si>
  <si>
    <t>kWh / maand</t>
  </si>
  <si>
    <t>Opmerkingen:</t>
  </si>
  <si>
    <t>pp staat voor prijspeil</t>
  </si>
  <si>
    <t>Dictum en Bijlagen Besluit: tarieven en belangrijkste gegevens Drinkwater</t>
  </si>
  <si>
    <t>Productieprijs drinkwater</t>
  </si>
  <si>
    <t>Variabele gebruikstarieven</t>
  </si>
  <si>
    <t>Vaste gebruikstarieven drinkwater</t>
  </si>
  <si>
    <t>Drinkwater  productie</t>
  </si>
  <si>
    <t>Drinkwater distributie</t>
  </si>
  <si>
    <t>Drinkwater via wegtransport</t>
  </si>
  <si>
    <t>Correctiebedrag te verrekenen in productieprijs</t>
  </si>
  <si>
    <t>Correctiebedrag te verrekenen in variabel gebruikstarief</t>
  </si>
  <si>
    <t xml:space="preserve">   waarvan bedrag vergoeding nieuwe waterplant</t>
  </si>
  <si>
    <t xml:space="preserve">   aanvullend: geraamde elektriciteitskosten voor drinkwaterproductie</t>
  </si>
  <si>
    <t>m3</t>
  </si>
  <si>
    <t>Geschat rendement productie WEB</t>
  </si>
  <si>
    <t>kWh / m3</t>
  </si>
  <si>
    <t>Schatting distributievolume drinkwater via netwerk (aansluitcapaciteit)</t>
  </si>
  <si>
    <t>inch^2</t>
  </si>
  <si>
    <t>Schatting distributievolume drinkwater via wegtransport</t>
  </si>
  <si>
    <t>Parameters en overige gegevens</t>
  </si>
  <si>
    <t>Enkele parameters en gegevens die de ACM nodig heeft in de berekeningen in dit bestand.</t>
  </si>
  <si>
    <t>De CPI ontwikkeling tussen Q3 jaar T en Q3 jaar T-1 wordt gebruikt als de geschatte inflatie voor jaar T+1. De geschatte inflatie wordt afgerond op één decimaal.</t>
  </si>
  <si>
    <t>Vanaf de ontwikkeling tussen Q3 2018 en Q3 2019 maken we gebruik van de 2017 = 100 reeks. Hiervoor werd gebruik gemaakt van de reeks 2010 = 100.</t>
  </si>
  <si>
    <t xml:space="preserve">CPI </t>
  </si>
  <si>
    <t>Oorspronkelijk cpi getal 2019 Q3</t>
  </si>
  <si>
    <t>index</t>
  </si>
  <si>
    <t>CPI data CBS (2017=100)</t>
  </si>
  <si>
    <t>Oorspronkelijk cpi getal 2020 Q3</t>
  </si>
  <si>
    <t>Oorspronkelijk cpi getal 2021 Q3</t>
  </si>
  <si>
    <t>Oorspronkelijk cpi getal 2022 Q3</t>
  </si>
  <si>
    <t>Afgeleid cpi getal 2020 Q3</t>
  </si>
  <si>
    <t>Alternatief (afgeleid) cpi getal 2021 Q3 (geconstrueerd)</t>
  </si>
  <si>
    <t xml:space="preserve">Dit is het cpi getal dat is gebruikt in tarievenbesluiten voor 2022. Omdat zowel 2020 Q3 als 2021 Q3 gemeten zijn onder hetzelfde Covid-subsidie-regime, heeft ACM de delta voor dit jaar gebaseerd op het oorspronkelijke cpi cijfers. </t>
  </si>
  <si>
    <t>Geschatte inflatie 2020</t>
  </si>
  <si>
    <t>CBS Inflatie Caribisch Nederland, (2017 = 100)</t>
  </si>
  <si>
    <t>Geschatte inflatie 2021</t>
  </si>
  <si>
    <t xml:space="preserve">De geschatte inflatie voor 2021 is aangepast voor het effect van de Covid subsidies (oorspronkelijke getal was -4,8%) </t>
  </si>
  <si>
    <t xml:space="preserve">De Covid subsidies zijn vrijwel gestopt in Januari 2022, daardoor wordt de cpi meting in 2022 Q3 niet langer beïnvloed door subsidie. </t>
  </si>
  <si>
    <t>Wettelijke rente voor Caribisch Nederland (toe te passen op tariefcorrecties)</t>
  </si>
  <si>
    <t xml:space="preserve">Het percentage kan variëren, maar staat sinds 2017 op 3%. </t>
  </si>
  <si>
    <t>1+%</t>
  </si>
  <si>
    <t>WACC voor WEB</t>
  </si>
  <si>
    <t>Profit sharing</t>
  </si>
  <si>
    <t>Percentage profit sharing</t>
  </si>
  <si>
    <t>Keuze methodebesluit 2020-2025</t>
  </si>
  <si>
    <t>Hieronder worden tevens enkele gegevens opgehaald die ACM gebruikt voor het berekenen van de profit sharing. Om dubbeling van data en rekenstappen te voorkomen is die berekening opgenomen in dit tariefmodel.</t>
  </si>
  <si>
    <t>Elektriciteit-productie</t>
  </si>
  <si>
    <t>Elektriciteit-distributie</t>
  </si>
  <si>
    <t>Water-productie</t>
  </si>
  <si>
    <t>Water-distributie</t>
  </si>
  <si>
    <t>Water per truck</t>
  </si>
  <si>
    <t>Kapitaalkosten</t>
  </si>
  <si>
    <t>Totale waarde RAB ultimo 2021</t>
  </si>
  <si>
    <t>Exclusief RAB nieuwe drinkwaterplant</t>
  </si>
  <si>
    <t>Exclusief Afschrijvingen nieuwe drinkwaterplant</t>
  </si>
  <si>
    <t>Gegevens RAB en afschrijvingen waterplant (investering 2021)</t>
  </si>
  <si>
    <t>USD</t>
  </si>
  <si>
    <t>Totale waarde RAB ultimo 2022</t>
  </si>
  <si>
    <t>Totale waarde RAB ultimo 2023</t>
  </si>
  <si>
    <t>Operationele kosten</t>
  </si>
  <si>
    <t>Input bepaling variabele kosten</t>
  </si>
  <si>
    <t>Percentage variabele operationele kosten van totale netto OPEX</t>
  </si>
  <si>
    <t>Productie Elektriciteit</t>
  </si>
  <si>
    <t>Productie WEB met PV</t>
  </si>
  <si>
    <t>Productie Drinkwater</t>
  </si>
  <si>
    <t>Totale productie</t>
  </si>
  <si>
    <t>Rekencapaciteit (gewicht o.b.v. kVA)</t>
  </si>
  <si>
    <t>#</t>
  </si>
  <si>
    <t>Excl. Pagabon</t>
  </si>
  <si>
    <t>grootverbruikers (deze groep  afnemers betaalt per KVA p.m.)</t>
  </si>
  <si>
    <t>Volumegegevens Pagabon (elektriciteit)</t>
  </si>
  <si>
    <t>Volume Pagabon (gewicht 4,4 kVA)</t>
  </si>
  <si>
    <t>Pagabon rekenwaarde voor gemiddeld verbruik</t>
  </si>
  <si>
    <t>Rekencapaciteit (inches^2)</t>
  </si>
  <si>
    <t>Totaal aantal aangeslotenen</t>
  </si>
  <si>
    <t>Eenheid waarin volume is uitgedrukt</t>
  </si>
  <si>
    <t>(zie kolom)</t>
  </si>
  <si>
    <t>Gerealiseerd volume WEB</t>
  </si>
  <si>
    <t>Totaal gerealiseerd volume (productie)</t>
  </si>
  <si>
    <t>Productie WEB</t>
  </si>
  <si>
    <t>Geschat productievolume CGB (totaal)</t>
  </si>
  <si>
    <t>Volume is afgestemd tussen CGB en WEB</t>
  </si>
  <si>
    <t>Productie Drinkwater - elektriciteitsgebruik</t>
  </si>
  <si>
    <t>Rendement productie WEB drinkwater</t>
  </si>
  <si>
    <t>kWh/m3</t>
  </si>
  <si>
    <t xml:space="preserve">Totaal kVA voor elektriciteitsaansluiting voor de productie van drinkwater </t>
  </si>
  <si>
    <t>KVA</t>
  </si>
  <si>
    <t>Distributiegegevens (divers)</t>
  </si>
  <si>
    <t xml:space="preserve">Tariefcategorieën en aansluitingen </t>
  </si>
  <si>
    <t>Inclusief Pagabon</t>
  </si>
  <si>
    <t>Inclusief Pagabon (alle opgegeven Pagabon in Tarievenvoorstel in deze categorie meegeteld)</t>
  </si>
  <si>
    <t>grootverbruikers (deze groep van afnemers betaalt per kVA per maand)</t>
  </si>
  <si>
    <r>
      <rPr>
        <i/>
        <u/>
        <sz val="10"/>
        <rFont val="Arial"/>
        <family val="2"/>
      </rPr>
      <t>Waarvan</t>
    </r>
    <r>
      <rPr>
        <sz val="10"/>
        <rFont val="Arial"/>
        <family val="2"/>
      </rPr>
      <t xml:space="preserve"> volume Pagabon (gewicht 4,4 kVA)</t>
    </r>
  </si>
  <si>
    <t>Totaal aantal aansluitingen</t>
  </si>
  <si>
    <t>Geschat volume WEB</t>
  </si>
  <si>
    <t>Totaal geschat volume Bonaire (productie)</t>
  </si>
  <si>
    <t>Bij enkele specifieke posten hieronder is een afzonderlijke toelichting opgenomen (in extra regel omschrijving, in roze cel en/of in opmerking in kolom T).</t>
  </si>
  <si>
    <t>Voor productie drinkwater incl. de geraamde kosten van de nieuwe drinkwaterfaciliteit (ging in 2021 mee als 'omvangrijke gebeurtenis')</t>
  </si>
  <si>
    <t>Voor drinkwater wordt hier gebruik gemaakt van het totale productieniveau drinkwater voor 2021 (incl. productie GE)</t>
  </si>
  <si>
    <t>Bedragen die WEB is misgelopen aan subsidie waar ACM rekening mee houdt</t>
  </si>
  <si>
    <t>ACM houdt rekening met deze gederfde inkomsten uit subsidie bij het bepalen van de volumecorrectie. ACM zou anders uitgaan van gestegen inkomsten, die in werkelijkheid slechts deels zijn behaald.</t>
  </si>
  <si>
    <t>Gederfde subsidieinkomsten als gevolg van volumegroei</t>
  </si>
  <si>
    <t>Analyse gederfde subsidies in tarievenvoorstel WEB voor 2023 (vraag 12-14)</t>
  </si>
  <si>
    <t>Getoetst en akkoord bevonden door ACM</t>
  </si>
  <si>
    <t>Diverse specifieke gegevens t.b.v. overige correcties</t>
  </si>
  <si>
    <t>Bedrag brandstofcorrectie elektriciteit distributeur</t>
  </si>
  <si>
    <t>Benodigde hoeveelheid elektriciteit voor productie drinkwater</t>
  </si>
  <si>
    <t>Verwachte deel verkoopvolume in eerste helft van 2022</t>
  </si>
  <si>
    <t>Gegevens over productieprijs</t>
  </si>
  <si>
    <t>Gemiddelde over geraamde productie met wind en brandstof</t>
  </si>
  <si>
    <t>Gewogen gemiddelde productieprijs elektriciteit zoals vastgesteld in tariefbeschikkingen</t>
  </si>
  <si>
    <t>USD / m3</t>
  </si>
  <si>
    <t>Voordat de ACM profit sharing toepast, corrigeert de ACM de inkomsten van WEB voor twee effecten: de volumecorrectie (alle activiteiten) en het inkoopmix-effect (bij distributie elektriciteit).</t>
  </si>
  <si>
    <t xml:space="preserve">Het inkoopmix-effect ontstaat doordat de productieprijs van WEB afwijkt van die van CGB. Doordat vervolgens ook de volumes afwijken, klopt de dekking van de inkoop van elektriciteit niet meer met de schatting die de ACM in eerste instantie gemaakt heeft. Dit effect staat los van gerealiseerde kosten en brandstofkosten, etc. </t>
  </si>
  <si>
    <t xml:space="preserve">Bij het inkoopmix-effect wordt uitsluitend gecorrigeerd voor gewijzigde volumes t.a.v. eigen productie en ingekochte elektriciteit. Feitelijk wordt gecorrigeerd voor de afwijking in de schatting door de ACM t.o.v. de werkelijk gerealiseerde eilandvraag en productieniveau's. </t>
  </si>
  <si>
    <t>Geschatte vaste kosten</t>
  </si>
  <si>
    <t xml:space="preserve">Gegevens over geschatte volumes </t>
  </si>
  <si>
    <t>Gerealiseerde volumes</t>
  </si>
  <si>
    <t>Gegevens over productie elektriciteit en inkoop bij ContourGlobal</t>
  </si>
  <si>
    <t>Berekening volumecorrectie</t>
  </si>
  <si>
    <t>Totaal gerealiseerde inkomsten ter dekking van vaste kosten, o.b.v. gerealiseerd volume</t>
  </si>
  <si>
    <t>(negatief bedrag = onderdekking van kosten)</t>
  </si>
  <si>
    <t>Bedragen aan gederfde subsidie inkomsten:</t>
  </si>
  <si>
    <t>Positief bedrag betekent: WEB heeft subsidie-inkomsten misgelopen, bedragen worden opgeteld bij volumecorrectie</t>
  </si>
  <si>
    <t>Berekening effect van veranderde inkoop-mix elektriciteit</t>
  </si>
  <si>
    <t>Geschatte inkoopkosten 'WEB distributeur' (excl. brandstofdeel)</t>
  </si>
  <si>
    <t>Totaal geschat volume</t>
  </si>
  <si>
    <t>Effectief geschatte inkoopprijs</t>
  </si>
  <si>
    <t>Gerealiseerde inkoopkosten 'WEB distributeur' (excl. brandstofdeel)</t>
  </si>
  <si>
    <t>Effectief gerealiseerde inkoopprijs</t>
  </si>
  <si>
    <t>Correctie voor hogere inkoopkosten door veranderde inkoop-mix</t>
  </si>
  <si>
    <t>Profit sharing percentage</t>
  </si>
  <si>
    <t>Volume gerealiseerd door WEB</t>
  </si>
  <si>
    <t>Gegevens netverliezen</t>
  </si>
  <si>
    <t>Gegevens gerealiseerde kosten nieuwe drinkwaterfaciliteit 2021</t>
  </si>
  <si>
    <t>Interpretatie: dit is wat WEB vergoed heeft gekregen voor het gerealiseerde volume</t>
  </si>
  <si>
    <t>Interpretatie: dit is wat de werkelijke kosten waren voor het gerealiseerde volume</t>
  </si>
  <si>
    <t>Berekening profit sharing</t>
  </si>
  <si>
    <t>Gerealiseerde winstbedrag voor berekening PS-bedrag</t>
  </si>
  <si>
    <t>Correctiebedragen die zien op productie elektriciteit gaan mee in totale correctie op het variabele gebruikstarief elektriciteit. Correctiebedragen voor profit sharing over net- en lekverliezen gaan mee in het variabele gebruikstarief.</t>
  </si>
  <si>
    <t>Ophalen gegevens profit sharing en gegevens uit brandstofmodel</t>
  </si>
  <si>
    <t>Bedragen volumecorrectie per activiteit</t>
  </si>
  <si>
    <t>Bedragen profit sharing per activiteit</t>
  </si>
  <si>
    <t>Bedragen brandstofcorrectie elektriciteit</t>
  </si>
  <si>
    <t>Nacalculatie elektriciteitskosten voor drinkwaterproductie</t>
  </si>
  <si>
    <t>Benodigde gegevens voor berekening</t>
  </si>
  <si>
    <t>Berekening nacalculatiebedrag</t>
  </si>
  <si>
    <t>Overige eenmalige nacalculaties en correcties</t>
  </si>
  <si>
    <t>Correctiebedragen die zien op productie elektriciteit gaan mee in totale correctie op variabel gebruikstarief elektriciteit</t>
  </si>
  <si>
    <t>Voor productie elektriciteit is geen nacalculatie van brandstofkosten meer nodig, aangezien alleen nog met zon geproduceerd wordt.</t>
  </si>
  <si>
    <t>Overige / bijzondere correcties: effect van BoB 2019</t>
  </si>
  <si>
    <t>Correctiebedrag te verrekenen in productieprijs (alleen DW)</t>
  </si>
  <si>
    <r>
      <t xml:space="preserve">NB: Het bedrag voor </t>
    </r>
    <r>
      <rPr>
        <u/>
        <sz val="10"/>
        <rFont val="Arial"/>
        <family val="2"/>
      </rPr>
      <t>elektriciteit</t>
    </r>
    <r>
      <rPr>
        <sz val="10"/>
        <rFont val="Arial"/>
        <family val="2"/>
      </rPr>
      <t xml:space="preserve"> moet </t>
    </r>
    <r>
      <rPr>
        <u/>
        <sz val="10"/>
        <rFont val="Arial"/>
        <family val="2"/>
      </rPr>
      <t>opnieuw</t>
    </r>
    <r>
      <rPr>
        <sz val="10"/>
        <rFont val="Arial"/>
        <family val="2"/>
      </rPr>
      <t xml:space="preserve"> worden betrokken bij vaststelling van het gewijzigde variabele gebruikstarief elektriciteit per 1 juli 2023</t>
    </r>
  </si>
  <si>
    <t>Beschrijving berekening kostenbasis</t>
  </si>
  <si>
    <t>Let op: verschil per activiteit! (formule niet doortrekken)</t>
  </si>
  <si>
    <t>Dit zijn alle activa waarvoor de aanname van 'continue vervanging' van toepassing is.</t>
  </si>
  <si>
    <t>Kostengegevens waterplant (investering 2021)</t>
  </si>
  <si>
    <t>Dit zijn activa waarvan de kosten exact geschat worden (uitsluitend als vaste kosten), o.b.v. een afzonderlijke kostenbepaling.</t>
  </si>
  <si>
    <t>Toevoeging kosten elektriciteitsaansluiting voor waterproductie</t>
  </si>
  <si>
    <t>Tarief per kVA voor elektriciteitsaansluiting</t>
  </si>
  <si>
    <t>kVA zwaarte van drinkwaterproductie</t>
  </si>
  <si>
    <t>Toevoegen aan kosten drinkwaterproductie (12 maanden)</t>
  </si>
  <si>
    <t>Betreft vaste kosten</t>
  </si>
  <si>
    <t>Productieprijs elektriciteit</t>
  </si>
  <si>
    <t>Variabel gebruikstarief voor elektriciteit</t>
  </si>
  <si>
    <t>Berekening inkomstenbedrag per kWh vóór toepassing van netverliespercentage</t>
  </si>
  <si>
    <t>Netverliespercentage</t>
  </si>
  <si>
    <t>Ook worden het pagabon tarief en de aansluittarieven bepaald op dit tabblad.</t>
  </si>
  <si>
    <t>Berekening tarief per kVA</t>
  </si>
  <si>
    <t>Tarief per maand per aansluitcategorie</t>
  </si>
  <si>
    <t>Grootverbruikers</t>
  </si>
  <si>
    <t>Pagabon-rekenwaarde (gem. verbruik per maand)</t>
  </si>
  <si>
    <t>(afgerond tarief)</t>
  </si>
  <si>
    <t>Vast gebruikstarief voor standaard pagabon aansluiting (o.b.v. 4,4 kVA rekenwaarde)</t>
  </si>
  <si>
    <t>(afgerond op 4 decimalen)</t>
  </si>
  <si>
    <t>Aansluittarieven elektriciteit</t>
  </si>
  <si>
    <t>Heraansluittarief 2023</t>
  </si>
  <si>
    <t>Wordt niet geindexeerd, omdat het een forfaitair vastgesteld tarief betreft</t>
  </si>
  <si>
    <t>Berekening aansluittarief (standaardaansluiting)</t>
  </si>
  <si>
    <t>Aansluittarief elektriciteit 2023 (standaardaansluiting)</t>
  </si>
  <si>
    <t>Rendement productie WEB</t>
  </si>
  <si>
    <t>Totale kosten verbruik elektriciteit voor productie drinkwater</t>
  </si>
  <si>
    <t>Variabel gebruikstarief voor drinkwater</t>
  </si>
  <si>
    <t>Correctiebedrag per m3</t>
  </si>
  <si>
    <t>Lekverliespercentage</t>
  </si>
  <si>
    <t>Ook worden het tarief voor bezorging van drinkwater per truck berekend en worden de aansluittarieven bepaald op dit tabblad.</t>
  </si>
  <si>
    <t>Berekening tarief per inch aansluitcapaciteit</t>
  </si>
  <si>
    <t>Tarief voor truck delivery</t>
  </si>
  <si>
    <t>Inkomstenbedrag voor truck delivery</t>
  </si>
  <si>
    <t>Correctiebedrag te verrekenen in truck delivery tarief</t>
  </si>
  <si>
    <t>Kosten voor distributie water via truck</t>
  </si>
  <si>
    <t>Let op: niet het variabele gebruikstarief</t>
  </si>
  <si>
    <t>Tarief voor levering drinkwater per truck (afgerond op 3 decimalen)</t>
  </si>
  <si>
    <t>Aansluittarieven drinkwater</t>
  </si>
  <si>
    <t>Aansluittarief drinkwater 2023 (standaardaansluiting)</t>
  </si>
  <si>
    <t>ACM/23/181656</t>
  </si>
  <si>
    <t>Berekening tarieven WEB 2024</t>
  </si>
  <si>
    <t>Beschikkingen productieprijzen en distributietarieven elektriciteit en drinkwater voor WEB 2024</t>
  </si>
  <si>
    <t>OPEX-berekening, RAB-berekening en berekening brandstofcorrectie vormen input voor dit bestand</t>
  </si>
  <si>
    <t>Net als vorig jaar heeft de ACM de profit-sharing-berekening geïntegreerd in dit bestand.</t>
  </si>
  <si>
    <t>Productieprijs elektriciteit WEB 2024</t>
  </si>
  <si>
    <t>ACM/UIT/606627</t>
  </si>
  <si>
    <t>Productieprijs drinkwater WEB 2024</t>
  </si>
  <si>
    <t>ACM/UIT/606628</t>
  </si>
  <si>
    <t>Gebruikstarieven elektriciteit WEB 2024</t>
  </si>
  <si>
    <t>ACM/UIT/606623</t>
  </si>
  <si>
    <t>Gebruikstarieven drinkwater WEB 2024</t>
  </si>
  <si>
    <t>ACM/UIT/606626</t>
  </si>
  <si>
    <t>In dit rekenbestand worden de tarieven van WEB voor 2024 berekend. Net als vorig jaar maakt de vaststelling van de profit sharing ook onderdeel uit van deze berekening (daarvoor was dit een afzonderlijk bestand).</t>
  </si>
  <si>
    <t>Dit bestand vormt Bijlage 3 (bij distributietarievenbeschikkingen) of Bijlage 2 (bij productieprijsbeschikkingen) en is daarmee integraal onderdeel van die tarievenbesluiten voor WEB voor 2024.</t>
  </si>
  <si>
    <t>Totaaloverzicht van alle tarieven voor 2024 die in dit bestand berekend worden.</t>
  </si>
  <si>
    <t xml:space="preserve">NB: ten behoeve van de profit sharing over het jaar 2024 zijn ook de gegevens over geraamde volumes en aandelen variabele kosten van belang. </t>
  </si>
  <si>
    <t>Deze gegevens zijn eveneens resultaat van de tarievenberekening voor 2024, en zijn opgenomen op de blauwe tabbladen 'Dictum &amp; Bijlagen Elektriciteit / Drinkwater'</t>
  </si>
  <si>
    <t>Overzicht tarieven elektriciteit 2024</t>
  </si>
  <si>
    <t>USD, pp 2024 / kWh</t>
  </si>
  <si>
    <t>Gewogen gemiddelde productieprijs voor januari 2024</t>
  </si>
  <si>
    <t>heel 2024</t>
  </si>
  <si>
    <t>Omdat het tarief voor WEB niet langer een brandstofcomponent bevat, is dit tarief geldig voor 12 maanden.</t>
  </si>
  <si>
    <t>Variabel gebruikstarief WEB voor januari - juni 2024</t>
  </si>
  <si>
    <t>jan t/m jun 2024</t>
  </si>
  <si>
    <t>USD, pp 2024 / maand</t>
  </si>
  <si>
    <t>USD, pp 2024 / kVA / maand</t>
  </si>
  <si>
    <t>USD, pp 2024</t>
  </si>
  <si>
    <t>Overzicht tarieven drinkwater 2024</t>
  </si>
  <si>
    <t>USD, pp 2024 / m3</t>
  </si>
  <si>
    <t>Grootverbruikers betalen dit tarief per kVA per maand.</t>
  </si>
  <si>
    <t xml:space="preserve">Op dit tabblad staat alle relevante informatie voor in de bijlage bij het tarievenbesluit voor 2024. </t>
  </si>
  <si>
    <t>Vastgestelde distributietarieven WEB 2024 - elektriciteit</t>
  </si>
  <si>
    <t>Variabele gebruikstarieven januari t/m juni 2024</t>
  </si>
  <si>
    <t xml:space="preserve">Belangrijkste gegevens tarievenbesluit WEB 2024 - elektriciteit </t>
  </si>
  <si>
    <t>WACC voor elektriciteitsproductie in 2024</t>
  </si>
  <si>
    <t>WACC voor elektriciteitsdistributie in 2024</t>
  </si>
  <si>
    <t>Geschatte inflatie 2024</t>
  </si>
  <si>
    <t xml:space="preserve">
Belangrijkste kostengegeven over 2022</t>
  </si>
  <si>
    <t>Netto operationele kosten t.b.v. kostenbasis o.b.v. realisaties 2022</t>
  </si>
  <si>
    <t>Waarde Regulatorische Activa Basis (ultimo 2022)</t>
  </si>
  <si>
    <t>Afschrijvingen over 2022</t>
  </si>
  <si>
    <t>Correctie volume-effect over 2022</t>
  </si>
  <si>
    <t>Correctie inkoopmix-effect over 2022</t>
  </si>
  <si>
    <t>Profit sharing over 2022 (excl. netverliezen)</t>
  </si>
  <si>
    <t>Profit sharing over netverliezen 2022</t>
  </si>
  <si>
    <t>Correctie voor verschil in doorrekening van brandstofcomponent mei - okt 2023</t>
  </si>
  <si>
    <t>Correctiebedrag te verrekenen in variabel gebruikstarief (heel 2024) *</t>
  </si>
  <si>
    <t>Correctiebedrag te verrekenen in variabel gebruikstarief (eerste helft 2024)</t>
  </si>
  <si>
    <t>Inkomstenniveau in 2024</t>
  </si>
  <si>
    <t>Totaalbedrag kostenbasis 2024 o.b.v. geraamd volume in 2024</t>
  </si>
  <si>
    <t>Inkomstenbedrag in 2024 na toepassing correcties</t>
  </si>
  <si>
    <t>Overige parameters (verwachtingen 2024 elektriciteit)</t>
  </si>
  <si>
    <t>Geraamde productie WEB in 2024 met zonnepark</t>
  </si>
  <si>
    <t>Totale geraamde productie Bonaire in 2024 (WEB + CGB)</t>
  </si>
  <si>
    <t>Netverliespercentage (geraamd voor 2024)</t>
  </si>
  <si>
    <t>* In verband met het sterk afgenomen productieniveau van WEB zijn alle correcties over productie verwerkt in het variabel gebruikstarief.</t>
  </si>
  <si>
    <t>Vastgestelde distributietarieven voor WEB 2024 - drinkwater</t>
  </si>
  <si>
    <t>Belangrijkste gegevens tarievenbesluit WEB 2024 - drinkwater</t>
  </si>
  <si>
    <t>WACC voor drinkwater (productie en distributie) in 2024</t>
  </si>
  <si>
    <t>Waarde Regulatorische Activa Basis (ultimo 2022) *</t>
  </si>
  <si>
    <t>Afschrijvingen over 2022 *</t>
  </si>
  <si>
    <t>Totale kapitaalkosten nieuwe drinkwaterplant in 2022</t>
  </si>
  <si>
    <t>(Reguliere) Correcties over 2022</t>
  </si>
  <si>
    <t>Profit sharing over lekverliezen 2022</t>
  </si>
  <si>
    <t>Nacalculatie elektriciteitskosten voor drinkwaterproductie 2023</t>
  </si>
  <si>
    <t>Totaalbedrag kostenbasis 2024 o.b.v. geraamd volume in 2024 *</t>
  </si>
  <si>
    <t>Schatting productievolume (totaal) voor 2024</t>
  </si>
  <si>
    <t>Lekverliespercentage (geraamd voor 2024)</t>
  </si>
  <si>
    <t>* Exclusief kosten nieuwe drinkwaterplant geactiveerd in 2021</t>
  </si>
  <si>
    <t>De toelichting op de keuze, meting en werking van de afgeleide cpi in 2020 en 2021 (in verband met de Covid-subsidies in die jaren) is opgenomen in de tarievenbesluiten voor 2022.</t>
  </si>
  <si>
    <t>Oorspronkelijk cpi getal 2023 Q3</t>
  </si>
  <si>
    <t>Samengestelde wettelijke rente factor (1+%) over 2022 - 2024</t>
  </si>
  <si>
    <t>Samengestelde wettelijke rente factor (1+%) over 2023 - 2024</t>
  </si>
  <si>
    <t>Wettelijke rente CNL (geldig voor periode 2017 - 2024)</t>
  </si>
  <si>
    <t>WACC 2022 (electricity distribution and water combined)</t>
  </si>
  <si>
    <t>Gegevens kosten 2022</t>
  </si>
  <si>
    <t>Op dit blad haalt de ACM de gegevens op vanuit de RAB-berekening voor (ultimo) 2022 en de OPEX-berekening over 2022.</t>
  </si>
  <si>
    <t>De percentages voor variabele OPEX zijn gebaseerd op een berekening in het OPEX model over 2022, maar hier afgerond opgenomen.</t>
  </si>
  <si>
    <t>Kostengegevens 2022 t.b.v. kostenbasis voor tarieven 2024</t>
  </si>
  <si>
    <t>Totale Afschrijvingen in 2022</t>
  </si>
  <si>
    <t>Gegevens RAB en afschrijvingen waterplant (investering 2021) voor kostenbasis 2024</t>
  </si>
  <si>
    <t>Totale Afschrijvingen in 2024</t>
  </si>
  <si>
    <t>Totale waarde RAB ultimo 2024</t>
  </si>
  <si>
    <t>Totale netto-OPEX 2022 (t.b.v. kosteninschatting 2024)</t>
  </si>
  <si>
    <t>Totale netto-OPEX 2022 (t.b.v. profit sharing over 2022)</t>
  </si>
  <si>
    <t>Percentages variabele kosten in reguliere kosten 2022</t>
  </si>
  <si>
    <t>Percentage variabele kapitaalkosten: RAB ultimo 2022</t>
  </si>
  <si>
    <t>Percentage variabele kapitaalkosten: Afschrijvingen 2022</t>
  </si>
  <si>
    <t>RAB-berekening WEB ultimo 2022</t>
  </si>
  <si>
    <t>OPEX-berekening WEB over 2022</t>
  </si>
  <si>
    <t>Tarievenvoorstel WEB voor 2024</t>
  </si>
  <si>
    <t>Productie en Volume 2022</t>
  </si>
  <si>
    <t>Op dit tabblad geeft de ACM productie- en volumegegevens weer over het jaar 2022.</t>
  </si>
  <si>
    <t>Productie: realisaties 2022</t>
  </si>
  <si>
    <t>Distributie: realisaties 2022</t>
  </si>
  <si>
    <t>Totale productievolume CGB 2022</t>
  </si>
  <si>
    <t>Deze productie van WEB bevat ook een kleine productie met de generatoren bij Barcadera.</t>
  </si>
  <si>
    <t>Gerealiseerde volumes elektriciteit over 2022</t>
  </si>
  <si>
    <t>Gerealiseerde volumes drinkwater over 2022</t>
  </si>
  <si>
    <t>1 1/4''</t>
  </si>
  <si>
    <t>Gerealiseerd volume distributie drinkwater via truck 2022</t>
  </si>
  <si>
    <t>Lekverliespercentage realisatie 2022</t>
  </si>
  <si>
    <t>Totale volumes 2022</t>
  </si>
  <si>
    <t>Totale gerealiseerde volumes 2022</t>
  </si>
  <si>
    <t>RAB-berekening voor WEB ultimo 2022 - versie voor WEB (toegestuurd tegelijk met besluit)</t>
  </si>
  <si>
    <t>OPEX-berekening voor WEB over 2022 - versie voor WEB (toegestuurd tegelijk met besluit)</t>
  </si>
  <si>
    <t>Beantwoording en bestanden toegestuurd aan ACM op 1 september 2023</t>
  </si>
  <si>
    <t>Beantwoording informatieverzoek vraag 10 - 15 (vraag 10)</t>
  </si>
  <si>
    <t>Beantwoording informatieverzoek vraag 10 - 15 (vraag 11)</t>
  </si>
  <si>
    <t>Beantwoording informatieverzoek vraag 10 - 15 (vraag 13)</t>
  </si>
  <si>
    <t>Beantwoording informatieverzoek vraag 10 - 15 (vraag 12)</t>
  </si>
  <si>
    <t>Productie en Volume: ramingen 2024</t>
  </si>
  <si>
    <t>Op dit tabblad geeft de ACM de productie- en volumegegevens weer zoals ACM die inschat voor 2024. Een goede inschatting is van belang om de volumecorrectie over 2024 (verrekening van dekking vaste kosten) te beperken.</t>
  </si>
  <si>
    <t>Productie: ramingen 2024</t>
  </si>
  <si>
    <t>Totaal geschat productievolume WEB 2024 (alleen PV)</t>
  </si>
  <si>
    <t>Productieprijs CGB 2024 (incl brandstofcomponent voor de maand januari)</t>
  </si>
  <si>
    <t>Productieprijsbeschikking CGB voor 2024</t>
  </si>
  <si>
    <t>Verwachte deel verkoopvolume in eerste helft van 2024</t>
  </si>
  <si>
    <t>Geschat productievolume in 2024 (met nieuwe drinkwater plant)</t>
  </si>
  <si>
    <t>datum</t>
  </si>
  <si>
    <t>jaar</t>
  </si>
  <si>
    <t>Kosten tijdelijke voorziening 2024</t>
  </si>
  <si>
    <t>Tijdelijke voorziening aug'23 t/m jul'24, bedrag betreft 7/12 van het totaal</t>
  </si>
  <si>
    <t>Op basis van realisatie 2022</t>
  </si>
  <si>
    <t>Opgave door WEB op basis van verhouding analyse 2024.</t>
  </si>
  <si>
    <t>Netverliespercentage geschat voor 2024 (o.b.v. realisaties 2022)</t>
  </si>
  <si>
    <t>Geschat volume distributie drinkwater truck delivery 2024</t>
  </si>
  <si>
    <t>Pagabon rekenwaarde voor gemiddeld verbruik 2024</t>
  </si>
  <si>
    <t>Standaard aansluittarief 2023</t>
  </si>
  <si>
    <t>Beschikking distributietarieven elektriciteit en drinkwater 2023</t>
  </si>
  <si>
    <t>Raming volumes elektriciteit voor 2024</t>
  </si>
  <si>
    <t>Raming volumes drinkwater voor 2024</t>
  </si>
  <si>
    <t>Berekening geschatte volumes 2024</t>
  </si>
  <si>
    <t>Totale geschatte volumes 2024</t>
  </si>
  <si>
    <t>Wordt gepubliceerd in december 2023, via acm.nl</t>
  </si>
  <si>
    <t>Investeringsdatum</t>
  </si>
  <si>
    <t>Afschrijvingstermijn</t>
  </si>
  <si>
    <t>WEB nieuwbouw kantoor</t>
  </si>
  <si>
    <t>Beschikking distributietarieven elektriciteit 2023 Bonaire WEB | ACM.nl</t>
  </si>
  <si>
    <t>Beschikking distributietarieven drinkwater 2023 Bonaire WEB | ACM.nl</t>
  </si>
  <si>
    <t>Beschikking distributietarieven elektriciteit 2023</t>
  </si>
  <si>
    <t>Omvangrijke gebeurtenissen</t>
  </si>
  <si>
    <t>Op dit tabblad berekent de ACM de geschatte kosten van de omvangrijke gebeurtenissen die WEB voor het tariefjaar 2024 heeft opgegeven. Dit zijn gebeurtenissen die gepaard gaan met een aanzienlijke stijging (of daling) van de kosten ten opzichte van de kostenbasis.</t>
  </si>
  <si>
    <t>Nieuwe drinkwaterfaciliteit / tijdelijke voorziening WEB</t>
  </si>
  <si>
    <t>Investering</t>
  </si>
  <si>
    <t>Enterprise Resource Planning (ERP): extra opex (inwerkkosten)</t>
  </si>
  <si>
    <t>Totale investering</t>
  </si>
  <si>
    <t>Verdeelsleutel</t>
  </si>
  <si>
    <t>Investering per activiteit</t>
  </si>
  <si>
    <t>Brondata (schattingen aangeleverd door WEB)</t>
  </si>
  <si>
    <t>Totale OPEX</t>
  </si>
  <si>
    <t>OPEX per activiteit</t>
  </si>
  <si>
    <t>Som van percentages telt op tot 94%; overige 6% wordt toegewezen aan de activiteit afvalwater (niet-gereguleerd).</t>
  </si>
  <si>
    <t>Jaarlijkse afschrijving</t>
  </si>
  <si>
    <t>Afschrijving in 2024</t>
  </si>
  <si>
    <t>Initiële investeringswaarde op investeringsdatum</t>
  </si>
  <si>
    <t>RAB-waarde van investering ultimo 2024</t>
  </si>
  <si>
    <t>Aantal maanden in gebruik in 2024</t>
  </si>
  <si>
    <t>maanden</t>
  </si>
  <si>
    <t>Gemiddelde RAB-waarde van investering in 2024</t>
  </si>
  <si>
    <t>Gemiddelde RAB-waarde naar rato van aantal maanden in gebruik in 2024</t>
  </si>
  <si>
    <t>Geschatte operationele kosten 2024</t>
  </si>
  <si>
    <t>Geschatte operationele kosten per activiteit</t>
  </si>
  <si>
    <t>Berekening geschatte kosten per omvangrijke gebeurtenis</t>
  </si>
  <si>
    <t>Berekening inkomsten 2024 op basis van kostenbasis 2022</t>
  </si>
  <si>
    <t>De kostenbasis wordt gebaseerd op de kapitaalkosten en OPEX over 2022.</t>
  </si>
  <si>
    <t>Voordat de totale kosten worden vertaald in een kostenbasis voor 2024, wordt deze nog gesplitst in een vast deel en een variabel deel. Voor de vaststelling van de geschatte kosten voor 2024 worden ook de verwachte kosten van omvangrijke gebeurtenissen meegeteld.</t>
  </si>
  <si>
    <t>WACC 2024 (per activiteit)</t>
  </si>
  <si>
    <t>Kostengegevens 2022</t>
  </si>
  <si>
    <t>Totale waarde RAB ultimo 2022 - reguliere activa</t>
  </si>
  <si>
    <t>Totale netto-OPEX 2022, t.b.v. kostenbasis 2024</t>
  </si>
  <si>
    <t>Gerealiseerde volumes 2022</t>
  </si>
  <si>
    <t>Gerealiseerd volume door WEB 2022</t>
  </si>
  <si>
    <t>Percentages afgerond op één decimaal.</t>
  </si>
  <si>
    <t xml:space="preserve">WEB heeft met ingang van 2022 geen kosten meer voor de productie van drinkwater met de installatie van GE. </t>
  </si>
  <si>
    <t>Percentage bij drinkwaterproductie is nog steeds van toepassing, aangezien alle kostenveranderingen tussen 2022 en 2024 in vaste kosten zitten.</t>
  </si>
  <si>
    <t>Aanvullende kosten voor drinkwaterproductie in 2024</t>
  </si>
  <si>
    <t>Gemiddelde RAB-waarde waterplant in 2024</t>
  </si>
  <si>
    <t>USD, pp 2024/kVA/mnd</t>
  </si>
  <si>
    <t>Aanvullende kosten voor omvangrijke gebeurtenissen 2024</t>
  </si>
  <si>
    <t>Dit zijn operationele uitgaven waarvan de kosten exact geschat worden (uitsluitend als vaste kosten), o.b.v. een afzonderlijke kostenbepaling.</t>
  </si>
  <si>
    <t>Geschatte operationele kosten (per activiteit)</t>
  </si>
  <si>
    <t>Berekening kostenbasis 2024</t>
  </si>
  <si>
    <t>Berekening variabele kosten in kostenbasis 2022 t.b.v. situatie 2024</t>
  </si>
  <si>
    <t>Totale waarde RAB ultimo 2022, variabel deel</t>
  </si>
  <si>
    <t>Totale Afschrijvingen in 2022, variabel deel</t>
  </si>
  <si>
    <t>Totale variabele netto-OPEX t.b.v. kostenbasis voor tarieven 2024</t>
  </si>
  <si>
    <t>Totale variabele kosten t.b.v. kostenbasis 2024, in prijspeil 2024</t>
  </si>
  <si>
    <t>Totale variabele kosten t.b.v. kostenbasis 2024 per eenheid output</t>
  </si>
  <si>
    <t>USD, pp 2024 / #</t>
  </si>
  <si>
    <t>Berekening vaste kosten in kostenbasis 2022 t.b.v. situatie 2024</t>
  </si>
  <si>
    <t>Totale waarde RAB ultimo 2022, vast deel</t>
  </si>
  <si>
    <t>Totale Afschrijvingen in 2022, vaste deel</t>
  </si>
  <si>
    <t>Totale vaste netto-OPEX t.b.v. kostenbasis voor tarieven 2024</t>
  </si>
  <si>
    <t>Totale vaste kosten t.b.v. kostenbasis 2024, in prijspeil 2024</t>
  </si>
  <si>
    <t>Berekening kostenbasis 2024 op basis van geraamde volumes</t>
  </si>
  <si>
    <t>Geraamde volumes 2024</t>
  </si>
  <si>
    <t>Totale variabele kosten bij geraamde volume 2024</t>
  </si>
  <si>
    <t>Totale geschatte kosten 2024 o.b.v. geraamde volumes 2024</t>
  </si>
  <si>
    <t xml:space="preserve">In het methodebesluit Caribisch Nederland 2020-2025 (randnummer 91 t/m 95) beschrijft de ACM hoe zij door WEB aangemelde omvangrijke gebeurtenissen beoordeelt. De beoordeling van de omvangrijke gebeurtenissen voor 2024 heeft de ACM vastgelegd in de tariefbeschikkingen voor 2024. </t>
  </si>
  <si>
    <t>Dit betreft de afschrijvingen van investeringen die als omvangrijke gebeurtenis zijn beoordeeld.</t>
  </si>
  <si>
    <t>Dit betreft de operationele kosten van activiteiten die als omvangrijke gebeurtenis zijn beoordeeld.</t>
  </si>
  <si>
    <t>Voor de productieprijs geldt dat die voor heel 2024 gelijk is, aangezien het vrijwel uitsluitend productie met het zonnepark betreft. De productie met de generatoren in Barcadera, en de brandstof die daar verbruikt wordt, wordt niet afzonderlijk gereguleerd, vanwege de zeer beperkte omvang.</t>
  </si>
  <si>
    <t>Berekening productieprijs WEB (voor heel 2024)</t>
  </si>
  <si>
    <t>Totale geschatte kosten voor productie WEB in 2024</t>
  </si>
  <si>
    <t>Geraamd productievolume WEB 2024 (uitsluitend solar)</t>
  </si>
  <si>
    <t>Productieprijs 2024 voor productie WEB (onafgerond)</t>
  </si>
  <si>
    <t>Productieprijs 2024 voor productie WEB zoals vastgesteld (afgerond)</t>
  </si>
  <si>
    <t>Berekening gewogen gemiddelde productieprijs voor januari 2024</t>
  </si>
  <si>
    <t>Geraamd productievolume CGB 2024</t>
  </si>
  <si>
    <t>Vastgestelde productieprijs voor CGB voor januari 2024</t>
  </si>
  <si>
    <t>Totaal geraamd productievolume elektriciteit in 2024</t>
  </si>
  <si>
    <t>Te verrekenen correcties in het variabele gebruikstarief voor 2024</t>
  </si>
  <si>
    <t>Correctiebedrag te verrekenen in variabel gebruikstarief (heel 2024)</t>
  </si>
  <si>
    <t>Correctiebedrag voor variabel gebruikstarief 2024 per kWh (heel 2024)</t>
  </si>
  <si>
    <t>Correctiebedrag voor variabel gebruikstarief 2024 per kWh (eerste helft 2024)</t>
  </si>
  <si>
    <t>Variabel gebruikstarief WEB voor januari - juni 2024 afgerond op 4 decimalen</t>
  </si>
  <si>
    <t>Eventuele productie met de generatoren in Barcadera wordt niet meegeschat, zie ook opmerking hierboven.</t>
  </si>
  <si>
    <t>Op de productieprijs van WEB zijn geen correcties van toepassing (zie tabblad 'Correcties (incl. berekening)').</t>
  </si>
  <si>
    <t>Berekening productieprijs en variabel gebruikstarief elektriciteit 2024</t>
  </si>
  <si>
    <t>Correctiebedrag van toepassing op heel 2024, let op: ook toe te passen op tarief per 1 juli 2024</t>
  </si>
  <si>
    <t>Correctiebedrag van toepassing op eerste helft 2024</t>
  </si>
  <si>
    <t>Getal van toepassing op eerste helft 2024</t>
  </si>
  <si>
    <t>Op dit tabblad worden de vaste gebruikstarieven voor 2024 berekend door de inkomsten te delen door de verwachte volumes, en daarbij de correcties te betrekken.</t>
  </si>
  <si>
    <t>Berekening vaste gebruikstarieven elektriciteit 2024</t>
  </si>
  <si>
    <t>Berekening productieprijs en variabel gebruikstarief drinkwater 2024</t>
  </si>
  <si>
    <t>Berekening vaste gebruikstarieven drinkwater 2024</t>
  </si>
  <si>
    <t>Berekening vaste gebruikstarieven Elektriciteit 2024</t>
  </si>
  <si>
    <t>Inkomstenbedrag voor 2024, o.b.v. verwacht volume voor 2024</t>
  </si>
  <si>
    <t>Verwacht volume voor 2024</t>
  </si>
  <si>
    <t>Inkomstenbedrag 2024 per kVA per maand</t>
  </si>
  <si>
    <t>USD, pp 2024 / mnd</t>
  </si>
  <si>
    <t>USD, pp 2024 / kVA / mnd</t>
  </si>
  <si>
    <t>Totale geschatte kosten 2024, o.b.v. verwacht volume voor 2024</t>
  </si>
  <si>
    <t>Deze groep van afnemers betaalt per kVA per maand.</t>
  </si>
  <si>
    <t>Pagabontarief 2024</t>
  </si>
  <si>
    <t>Heraansluittarief 2024</t>
  </si>
  <si>
    <t>Wordt niet geindexeerd, omdat het een forfaitair vastgesteld tarief betreft.</t>
  </si>
  <si>
    <t>Aansluittarief elektriciteit 2024 (standaardaansluiting)</t>
  </si>
  <si>
    <t>Geraamde volumes voor 2024</t>
  </si>
  <si>
    <t>Op dit tabblad worden de productieprijs en het variabele gebruikstarief voor 2024 berekend door de inkomsten te delen door de volumes, en daarbij de correcties en het netverlies te betrekken.</t>
  </si>
  <si>
    <t>Op dit tabblad worden de productieprijs en het variabele gebruikstarief voor 2024 berekend door de inkomsten te delen door de volumes, en daarbij de correcties en het lekverlies te betrekken.</t>
  </si>
  <si>
    <t>Totaal geraamde volume voor 2024</t>
  </si>
  <si>
    <t>Bedrag inclusief alle kosten voor WEB's nieuwe drinkwaterfaciliteit en inclusief kosten voor elektriciteitsaansluiting, excl. kosten verbruik kWh's.</t>
  </si>
  <si>
    <t>Te verrekenen correcties in productieprijs drinkwater WEB 2024</t>
  </si>
  <si>
    <t>Totaalbedrag inkomsten productie WEB in 2024</t>
  </si>
  <si>
    <t>Variabel gebruikstarief elektriciteit 2024</t>
  </si>
  <si>
    <t>Productieprijs voor productie drinkwater WEB 2024 (onafgerond)</t>
  </si>
  <si>
    <t>Productieprijs voor productie drinkwater WEB 2024 zoals vastgesteld (afgerond)</t>
  </si>
  <si>
    <t>Variabele gebruikstarief drinkwater WEB 2024</t>
  </si>
  <si>
    <t>Variabele gebruikstarief drinkwater WEB 2024 (afgerond)</t>
  </si>
  <si>
    <t>Deze productieprijs (die overigens niet formeel wordt vastgesteld) volgt uit het gewogen gemiddelde van productieprijs WEB en maandelijks bijgestelde productieprijs van CGB.</t>
  </si>
  <si>
    <t>Totale geschatte kosten 2024 o.b.v. verwacht volume voor 2024</t>
  </si>
  <si>
    <t>Inkomstenbedrag 2024 per inch^2 per maand</t>
  </si>
  <si>
    <t>USD, pp 2024 / inch^2 / mnd</t>
  </si>
  <si>
    <t>Totale geschatte kosten 2024 voor distributie via truck</t>
  </si>
  <si>
    <t>Inkomstenbedrag voor truck delivery 2024</t>
  </si>
  <si>
    <t>Totale volume distributie via truck (geraamd voor 2024)</t>
  </si>
  <si>
    <t>Aansluittarief drinkwater 2024 (standaardaansluiting)</t>
  </si>
  <si>
    <t>Berekening volumecorrecties over 2022</t>
  </si>
  <si>
    <t>Bij de volumecorrectie corrigeert de ACM voor een over- of onderdekking van de geschatte vaste kosten, doordat de gerealiseerde volumes afwijken van de geschatte volumes.</t>
  </si>
  <si>
    <t>Bij de volumecorrectie houdt de ACM rekening met eventueel gederfde subsidie-inkomsten in 2022 als gevolg van volumegroei. Voor de vaststelling hiervan volgt de ACM de berekening die WEB hiervan maakt in het tarievenvoorstel.</t>
  </si>
  <si>
    <t>Totale geschatte vaste kosten 2022</t>
  </si>
  <si>
    <t>Geschat volume 2022</t>
  </si>
  <si>
    <t>Gerealiseerd volume 2022</t>
  </si>
  <si>
    <t>Totaal geschat volume productie elektriciteit 2022</t>
  </si>
  <si>
    <t>Geschat volume inkoop elektriciteit bij CGB 2022</t>
  </si>
  <si>
    <t>Deel productieprijs exclusief brandstofcomponent voor WEB 2022</t>
  </si>
  <si>
    <t>Deel productieprijs exclusief brandstofcomponent voor CGB 2022</t>
  </si>
  <si>
    <t>Gerealiseerd volume inkoop elektriciteit bij CGB in 2022</t>
  </si>
  <si>
    <t>USD, pp 2022 / kWh</t>
  </si>
  <si>
    <t>Betreft geschatte kosten over gehele jaar 2022</t>
  </si>
  <si>
    <t>Berekening dekking van vaste kosten 2022</t>
  </si>
  <si>
    <t>Te hoge (of te lage) dekking van vaste kosten in 2022</t>
  </si>
  <si>
    <t>Volumecorrectie op te nemen in tarieven 2024</t>
  </si>
  <si>
    <t>Berekening correctie inkoopmix elektriciteit voor 2022</t>
  </si>
  <si>
    <t>Totaal gerealiseerd volume 2022</t>
  </si>
  <si>
    <t>(negatief bedrag = WEB heeft gunstigere inkoop gerealiseerd dan wat vooraf geschat was. Dit bedrag wordt opgeteld bij tariefruimte voor 2024, nog corrigeren voor prijspeil)</t>
  </si>
  <si>
    <t>Berekening profit sharing over 2022</t>
  </si>
  <si>
    <t>De werkwijze voor profit sharing over 2022 is gelijk aan die over eerdere jaren, en is gebaseerd op de keuzes in het methodebesluit voor Caribisch Nederland.</t>
  </si>
  <si>
    <t>WACC 2022</t>
  </si>
  <si>
    <t>Vastgestelde / berekende productieprijzen 2022</t>
  </si>
  <si>
    <t>Gewogen gemiddelde productieprijs jan - juni 2022</t>
  </si>
  <si>
    <t>Gewogen gemiddelde productieprijs juli - dec 2022</t>
  </si>
  <si>
    <t>Gemiddelde productieprijs elektriciteit voor 2022</t>
  </si>
  <si>
    <t>Gewogen gemiddelde productieprijs drinkwater 2022</t>
  </si>
  <si>
    <t>Geschat percentage netverlies / lekverlies voor 2022</t>
  </si>
  <si>
    <t>Gerealiseerd percentage netverlies / lekverlies in 2022</t>
  </si>
  <si>
    <t>Oorspronkelijke schatting kosten 2022 op basis van kosten 2020</t>
  </si>
  <si>
    <t>Inschatting kostenbasis voor 2022 o.b.v. kosten 2020</t>
  </si>
  <si>
    <t>Totale vaste kosten t.b.v. kostenbasis 2022, in prijspeil 2022</t>
  </si>
  <si>
    <t>Totale variabele kosten t.b.v. kostenbasis 2022 per eenheid output</t>
  </si>
  <si>
    <t>Volumeraming voor 2022</t>
  </si>
  <si>
    <t>Geraamde volumes WEB 2022</t>
  </si>
  <si>
    <t>Totaal geraamd volume 2022 (incl. inkoop)</t>
  </si>
  <si>
    <t>Geschat percentage net-/lekverlies voor 2022 (o.b.v. realisatie 2020)</t>
  </si>
  <si>
    <t>Diverse specifieke gegevens t.b.v. profit sharing over 2022</t>
  </si>
  <si>
    <t>USD, pp 2022 / #</t>
  </si>
  <si>
    <t>Brandstofmodel voor WEB (nacalculatie mei-okt 2023) - versie voor WEB (toegestuurd tegelijk met besluit)</t>
  </si>
  <si>
    <t>Brandstofmodel WEB voor 2024</t>
  </si>
  <si>
    <t>Gegevens voor nacalculatie elektriciteitskosten drinkwater productie juli-dec 2023</t>
  </si>
  <si>
    <t>Totale verwachte productie drinkwater 2023</t>
  </si>
  <si>
    <t>Variabele gebruikstarief elektriciteit per 1 januari 2023</t>
  </si>
  <si>
    <t>Variabele gebruikstarief elektriciteit per 1 juli 2023</t>
  </si>
  <si>
    <t>Verwachte deel verkoopvolume in eerste helft van 2023</t>
  </si>
  <si>
    <t>Tarievenberekening WEB voor 2023, blad 'variabel tarief drinkwater', regel 14</t>
  </si>
  <si>
    <t>Tarievenberekening WEB voor 2023, blad 'variabel tarief drinkwater', regel 21</t>
  </si>
  <si>
    <t>Tarievenberekening WEB voor 2023, blad 'variabel tarief drinkwater', regel 22</t>
  </si>
  <si>
    <t>Productieprijzen elektriciteit 2022 (excl. brandstof)</t>
  </si>
  <si>
    <t>USD, pp 2023 /kWh</t>
  </si>
  <si>
    <t>Productieprijs drinkwater 2022</t>
  </si>
  <si>
    <t>Tarievenberekening WEB voor 2022, tabblad Resultaat, regel 17</t>
  </si>
  <si>
    <t>Productieprijsbeschikking CGB voor 2022 (dictum)</t>
  </si>
  <si>
    <t>Tarievenberekening WEB voor 2022, tabblad 'gegevens raming 2022', cel L24</t>
  </si>
  <si>
    <t>Tarievenberekening WEB voor 2022, tabblad 'Variabel tarief Drinkwater', cel H26</t>
  </si>
  <si>
    <t>In 2022 was geen brandstofcomponent meer van toepassing voor WEB.</t>
  </si>
  <si>
    <t>Tarievenberekening WEB voor 2022, tabblad 'berekening kostenbasis 2022', regel 68</t>
  </si>
  <si>
    <t>Tarievenberekening WEB voor 2022, tabblad 'berekening kostenbasis 2022', regel 61</t>
  </si>
  <si>
    <t>Tarievenberekening WEB voor 2022, tabblad 'berekening kostenbasis 2022', regel 75</t>
  </si>
  <si>
    <t>Tarievenberekening WEB voor 2022, tabblad 'gegevens raming 2022', regel 92</t>
  </si>
  <si>
    <t>Tarievenberekening WEB voor 2022, tabblad 'gegevens raming 2022', regel 44</t>
  </si>
  <si>
    <t>Tarievenberekening WEB voor 2023, blad 'gegevens raming 2023', regel 30</t>
  </si>
  <si>
    <t>Berekening variabel gebruikstarief elektriciteit WEB vanaf 1 juli 2023, blad 'resultaat', regel 33</t>
  </si>
  <si>
    <t>Berekening variabel gebruikstarief elektriciteit WEB vanaf 1 juli 2023</t>
  </si>
  <si>
    <t>Beschikking variabel tarief elektriciteit 1 juli 2023 Bonaire | ACM.nl</t>
  </si>
  <si>
    <t>Productieprijsbeschikking CGB voor 2022</t>
  </si>
  <si>
    <t>Tarievenberekening WEB voor 2023</t>
  </si>
  <si>
    <t>Beschikking productieprijs elektriciteit 2023 Bonaire WEB | ACM.nl</t>
  </si>
  <si>
    <t>USD, pp 2022 / m3</t>
  </si>
  <si>
    <t>Berekening bijgestelde geschatte kosten 2022</t>
  </si>
  <si>
    <t>Bijstelling van kosteninschatting voor 2022, o.b.v.  gerealiseerd volume 2022</t>
  </si>
  <si>
    <t>Geschatte vaste kosten voor 2022</t>
  </si>
  <si>
    <t>Geschatte variabele kosten kosten voor 2022 per eenheid</t>
  </si>
  <si>
    <t>Bijgestelde geschatte totale kosten voor 2022</t>
  </si>
  <si>
    <t>Berekening gerealiseerde totale kosten 2022</t>
  </si>
  <si>
    <t>Berekening gerealiseerde kosten 2022, o.b.v. WACC voor 2022</t>
  </si>
  <si>
    <t>Totale netto-OPEX 2022</t>
  </si>
  <si>
    <t>Kosten elektriciteitsaansluiting voor drinkwater productie in 2022</t>
  </si>
  <si>
    <t>Kapitaalkosten nieuwe drinkwaterfaciliteit in 2022, o.b.v. WACC 2022</t>
  </si>
  <si>
    <t>Totale gerealiseerde kosten 2022</t>
  </si>
  <si>
    <t>Berekening profit sharing 2022 over alle gerealiseerde kosten (excl. netverliezen)</t>
  </si>
  <si>
    <t>Bedrag profit sharing over 2022</t>
  </si>
  <si>
    <t>Berekening profit sharing 2022 over netverliezen / lekverliezen</t>
  </si>
  <si>
    <t>Bedrag profit sharing net/lekverliezen over 2022</t>
  </si>
  <si>
    <t>(negatief bedrag = WEB heeft in 2022 extra winst behaald, en de helft van dit bedrag wordt in mindering gebracht op de tarieven van 2024)</t>
  </si>
  <si>
    <t>(negatief bedrag = WEB heeft in 2022 winst behaald door het verlagen van de netverliezen/lekverliezen, en de helft van dit bedrag wordt in mindering gebracht op de tarieven van 2024)</t>
  </si>
  <si>
    <t>Berekeningen correcties en profit sharing over 2022</t>
  </si>
  <si>
    <t>Daarnaast wordt voor drinkwater de correctie berekend die van toepassing is op de inkoopprijs voor elektriciteit voor de tweede helft van 2022.</t>
  </si>
  <si>
    <t>Correctiebedragen worden opgeteld op basis van hun bestemming: verrekening in de productieprijs, het variabele gebruikstarief of het vaste gebruikstarief. In alle gevallen wordt de wettelijke rente gebruikt voor omzetting naar prijspeil 2024.</t>
  </si>
  <si>
    <t>Volumecorrectie over 2022 op te nemen in tarieven 2024</t>
  </si>
  <si>
    <t>Bedrag profit sharing 2022 over alle gerealiseerde kosten (excl. net-/lekverliezen)</t>
  </si>
  <si>
    <t>Bedrag profit sharing 2022 over netverliezen / lekverliezen</t>
  </si>
  <si>
    <t>Verschil tussen variabele gebruikstarief zoals ingeschat en aanpassing 1 juli 2023</t>
  </si>
  <si>
    <t>Benodigde hoeveelheid elektriciteit voor productie in tweede helft 2023</t>
  </si>
  <si>
    <t>Nacalculatie elektriciteitskosten voor drinkwaterproductie (2023)</t>
  </si>
  <si>
    <t xml:space="preserve">Positief bedrag = WEB heeft minder vergoed gekregen dan er kosten waren. Bedrag optellen bij inkomsten 2024. </t>
  </si>
  <si>
    <t>Berekening totaalbedragen correcties voor 2022</t>
  </si>
  <si>
    <t>Bedragen volumecorrectie in prijspeil 2024</t>
  </si>
  <si>
    <t>Bedragen profit sharing in prijspeil 2024</t>
  </si>
  <si>
    <t>Bedragen brandstofcorrectie (ook kWh-prijs DW) in prijspeil 2024</t>
  </si>
  <si>
    <t>Totale correctiebedragen in prijspeil 2024</t>
  </si>
  <si>
    <t>Nieuwe categorie mogelijk niet meer in gebruik, nader te bepalen in 2024.</t>
  </si>
  <si>
    <t>Gerealiseerde kosten elektriciteitsaansluiting voor productie drinkwater in 2022</t>
  </si>
  <si>
    <t>Tarief per kVA voor elektriciteitsaansluiting in 2022</t>
  </si>
  <si>
    <t>USD, pp 2022 / kVA</t>
  </si>
  <si>
    <t>Tarievenblad 2022 WEB (incl. subsidie)</t>
  </si>
  <si>
    <t>KVA zwaarte van drinkwaterproductie in 2022</t>
  </si>
  <si>
    <t xml:space="preserve">USD, pp 2022 </t>
  </si>
  <si>
    <t>(nov-dec subsidie OLB)</t>
  </si>
  <si>
    <t>WEB-NL-Elektriciteitstarieven-per-1-januari-2022.pdf (webbonaire.com)</t>
  </si>
  <si>
    <t>Tarievenvoorstel WEB 2024</t>
  </si>
  <si>
    <t>Kosten elektriciteitsaansluiting (10 maanden) voor drinkwater productie in 2022</t>
  </si>
  <si>
    <t>Onjuiste verwerking subsidie I&amp;W in RAB 2021</t>
  </si>
  <si>
    <t>Te lage vaststelling kostenbasis 2023</t>
  </si>
  <si>
    <t>Totaal effect onjuiste verwerking op tarieven 2023</t>
  </si>
  <si>
    <t>Tarievenberekening WEB voor 2022, tabblad 'variabel tarief elektriciteit', rij 24</t>
  </si>
  <si>
    <t>Berekening variabel gebruikstarief elektriciteit WEB vanaf 1 juli 2022, tabblad 'Resultaat', regel 29</t>
  </si>
  <si>
    <t>Materieel effect verwerking BOB subsidie CGB</t>
  </si>
  <si>
    <t>Materieel effect verwerking BOB subsidie CGB in tarieven 2022</t>
  </si>
  <si>
    <t>Correctie te weinig inkomsten vastgesteld in tarieven 2023</t>
  </si>
  <si>
    <t>De vermogenskosten voor de drinkwaterfaciliteit worden berekend door de WACC te vermenigvuldigen met de gemiddelde RAB-waarde over 2022 (en niet de ultimowaarde).</t>
  </si>
  <si>
    <t>Beschikking productieprijs elektriciteit 2022 Bonaire ContourGlobal (Caribisch Nederland) | ACM.nl</t>
  </si>
  <si>
    <t>WACC 2024</t>
  </si>
  <si>
    <t>Geschatte kapitaalkosten 2024</t>
  </si>
  <si>
    <t>USD, pp jaar</t>
  </si>
  <si>
    <t>Totale kapitaalkosten van niet-reguliere activa</t>
  </si>
  <si>
    <t>Totale netto-OPEX van niet-reguliere werkzaamheden</t>
  </si>
  <si>
    <t>Kapitaalkosten waterplant in 2024</t>
  </si>
  <si>
    <t>Te lage vaststelling profitsharing over 2021 in 2023</t>
  </si>
  <si>
    <t>Onjuiste verwerking subsidie I&amp;W in RAB water plant 2021</t>
  </si>
  <si>
    <t>Beantwoording informatieverzoek vraag 11 - 15 (vraag 11 en 12)</t>
  </si>
  <si>
    <t>Gederfde subsidie-inkomsten a.g.v. subsidie EZK ter dekking van de BoB-correctie in CGB-tarief 2022</t>
  </si>
  <si>
    <t>Totaal misgelopen als gevolg van verwerking absoluut bedrag in kWh-tarief</t>
  </si>
  <si>
    <t>(dit bedrag moet vervolgens bij de profit sharing over 2023 in 2025 opgeteld worden bij de geschatte kostenbasis voor 2023)</t>
  </si>
  <si>
    <t>Inclusief toepassing prijsplafond.</t>
  </si>
  <si>
    <t>Berekening correctie investeringssubsidie I&amp;W 2021 - versie voor WEB (toegestuurd tegelijk met besluit)</t>
  </si>
  <si>
    <t>Beantwoording en bestanden toegestuurd aan ACM op 17 november 2022</t>
  </si>
  <si>
    <t>Berekening correctie inkomsten 2023 als a.g.v. onjuiste verwerking investeringssubsidie I&amp;W 2021</t>
  </si>
  <si>
    <t>Netverliespercentage realisatie 2022</t>
  </si>
  <si>
    <t>Bewerking ACM op berekening gederfde inkomsten a.g.v. BoB-correctie 2022</t>
  </si>
  <si>
    <t>Bewerking ACM op berekening BoB-correctie 2022 - versie voor WEB (toegestuurd tegelijk met besluit)</t>
  </si>
  <si>
    <t>Beantwoording informatieverzoek vraag 11-15 (vraag 15); Berekening correctie inkomsten 2023 als a.g.v. onjuiste verwerking investeringssubsidie I&amp;W 2021</t>
  </si>
  <si>
    <t>Beantwoording informatieverzoek vraag 11 - 15 (vraag 11 en 14); Beantwoording informatieverzoek vraag 15- 19 (vraag 19); Bewerking ACM op berekening gederfde inkomsten a.g.v. BoB-correctie 2022</t>
  </si>
  <si>
    <t>(afgerond op 3 decimalen)</t>
  </si>
  <si>
    <t>Beschikking distributietarieven drinkwater 2023</t>
  </si>
  <si>
    <t>Productie CGB</t>
  </si>
  <si>
    <t>Aangepast voorstel zoals door WEB toegestuurd aan ACM (27 okt 2023)</t>
  </si>
  <si>
    <t xml:space="preserve">Op dit blad heeft de ACM alle specifieke gegevens opgenomen die nodig zijn om de volumecorrectie en profit sharing correctie over 2022 en de overige correcties te berekenen. </t>
  </si>
  <si>
    <t>Alle andere gegevens die nodig zijn voor berekening van deze correcties maakten al onderdeel uit van het tarievenmodel, dus die worden hier niet herhaald.</t>
  </si>
  <si>
    <t>Gegevens ten behoeve van de volumecorrectie en profit sharing over 2022 en de overige correcties</t>
  </si>
  <si>
    <t>Correctie voor hogere inkoopkosten door veranderde inkoopmix in 2022</t>
  </si>
  <si>
    <t>Op deze sheet worden de uitkomsten van de berekening van de volumecorrecties, inkoopmixeffect (elektriciteit) en de profit sharing over 2022, de brandstofcorrectie over 2023 en de overige correcties omgezet naar daadwerkelijke tariefeffecten voor 2024.</t>
  </si>
  <si>
    <t>Overige / bijzondere correcties: subsidie I&amp;W in RAB 2021</t>
  </si>
  <si>
    <t>Eenmalige correcties</t>
  </si>
  <si>
    <t>Correctie effect subsidie EZK ter dekking van de BoB-correctie in CGB-tarief 2022</t>
  </si>
  <si>
    <t>Correctie onjuiste verwerking subsidie I&amp;W 2021 in tarieven 2023</t>
  </si>
  <si>
    <t>Waarde RAB omvangrijke gebeurtenissen</t>
  </si>
  <si>
    <t>Afschrijvingen over 2022 omvangrijke gebeurtenissen</t>
  </si>
  <si>
    <t xml:space="preserve">Dit is de openbare versie van de bijlage bij het besluit voor WEB, vastgesteld op 8 december 2022 (bijlage 2 voor productiebeschikkingen, bijlage 3 voor distributiebeschikkingen). </t>
  </si>
  <si>
    <t>(omstreeks) 22 december 2023</t>
  </si>
  <si>
    <t>Dit is een openbare versie van het berekeningsbestand, dit bestand bevat geen vertrouwelijke 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</si>
</sst>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0_ ;_ * \-#,##0.0_ ;_ * &quot;-&quot;??_ ;_ @_ "/>
    <numFmt numFmtId="166" formatCode="_ * #,##0.000_ ;_ * \-#,##0.000_ ;_ * &quot;-&quot;??_ ;_ @_ "/>
    <numFmt numFmtId="167" formatCode="_ * #,##0_ ;_ * \-#,##0_ ;_ * &quot;-&quot;??_ ;_ @_ "/>
    <numFmt numFmtId="168" formatCode="_ * #,##0.00_ ;_ * \-#,##0.00_ ;_ * &quot;-&quot;_ ;_ @_ "/>
    <numFmt numFmtId="169" formatCode="0.0%"/>
    <numFmt numFmtId="170" formatCode="_ * #,##0.00000_ ;_ * \-#,##0.00000_ ;_ * &quot;-&quot;??_ ;_ @_ "/>
    <numFmt numFmtId="171" formatCode="_ * #,##0.000_ ;_ * \-#,##0.000_ ;_ * &quot;-&quot;_ ;_ @_ "/>
    <numFmt numFmtId="172" formatCode="_ * #,##0.0000_ ;_ * \-#,##0.0000_ ;_ * &quot;-&quot;????_ ;_ @_ "/>
    <numFmt numFmtId="173" formatCode="_ * #,##0.0000_ ;_ * \-#,##0.0000_ ;_ * &quot;-&quot;_ ;_ @_ "/>
    <numFmt numFmtId="174" formatCode="_ * #,##0.0_ ;_ * \-#,##0.0_ ;_ * &quot;-&quot;_ ;_ @_ "/>
    <numFmt numFmtId="175" formatCode="_ * #,##0.000_ ;_ * \-#,##0.000_ ;_ * &quot;-&quot;???_ ;_ @_ "/>
    <numFmt numFmtId="176" formatCode="_ * #,##0.00000_ ;_ * \-#,##0.00000_ ;_ * &quot;-&quot;_ ;_ @_ "/>
    <numFmt numFmtId="177" formatCode="0.0000"/>
    <numFmt numFmtId="178" formatCode="0.00000"/>
    <numFmt numFmtId="179" formatCode="_ * #,##0.00000_ ;_ * \-#,##0.00000_ ;_ * &quot;-&quot;?????_ ;_ @_ "/>
  </numFmts>
  <fonts count="32"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u/>
      <sz val="10"/>
      <name val="Arial"/>
      <family val="2"/>
    </font>
    <font>
      <sz val="9"/>
      <color indexed="81"/>
      <name val="Tahoma"/>
      <family val="2"/>
    </font>
    <font>
      <i/>
      <u/>
      <sz val="10"/>
      <name val="Arial"/>
      <family val="2"/>
    </font>
    <font>
      <sz val="8"/>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6">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7"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9" fillId="0" borderId="0">
      <alignment vertical="top"/>
    </xf>
    <xf numFmtId="49" fontId="8" fillId="0" borderId="0">
      <alignment vertical="top"/>
    </xf>
    <xf numFmtId="0" fontId="14" fillId="12" borderId="3" applyNumberFormat="0" applyAlignment="0" applyProtection="0"/>
    <xf numFmtId="0" fontId="15" fillId="13" borderId="4" applyNumberFormat="0" applyAlignment="0" applyProtection="0"/>
    <xf numFmtId="0" fontId="16" fillId="13" borderId="3" applyNumberFormat="0" applyAlignment="0" applyProtection="0"/>
    <xf numFmtId="0" fontId="17" fillId="0" borderId="5" applyNumberFormat="0" applyFill="0" applyAlignment="0" applyProtection="0"/>
    <xf numFmtId="0" fontId="11" fillId="14" borderId="6" applyNumberFormat="0" applyAlignment="0" applyProtection="0"/>
    <xf numFmtId="0" fontId="13" fillId="15" borderId="7" applyNumberFormat="0" applyFont="0" applyAlignment="0" applyProtection="0"/>
    <xf numFmtId="0" fontId="18"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5" fillId="0" borderId="11" applyNumberFormat="0" applyFill="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7" fillId="0" borderId="0" applyNumberFormat="0" applyFill="0" applyBorder="0" applyAlignment="0" applyProtection="0"/>
    <xf numFmtId="49" fontId="19"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cellStyleXfs>
  <cellXfs count="182">
    <xf numFmtId="0" fontId="0" fillId="0" borderId="0" xfId="0">
      <alignment vertical="top"/>
    </xf>
    <xf numFmtId="0" fontId="6" fillId="0" borderId="0" xfId="4" applyFont="1">
      <alignment vertical="top"/>
    </xf>
    <xf numFmtId="0" fontId="5" fillId="0" borderId="0" xfId="4">
      <alignment vertical="top"/>
    </xf>
    <xf numFmtId="0" fontId="8" fillId="0" borderId="0" xfId="4" applyFont="1">
      <alignment vertical="top"/>
    </xf>
    <xf numFmtId="0" fontId="9" fillId="0" borderId="0" xfId="4" applyFont="1">
      <alignment vertical="top"/>
    </xf>
    <xf numFmtId="0" fontId="5" fillId="0" borderId="2" xfId="4" applyBorder="1">
      <alignment vertical="top"/>
    </xf>
    <xf numFmtId="49" fontId="7" fillId="5" borderId="1" xfId="5">
      <alignment vertical="top"/>
    </xf>
    <xf numFmtId="49" fontId="6" fillId="16" borderId="1" xfId="6">
      <alignment vertical="top"/>
    </xf>
    <xf numFmtId="0" fontId="5" fillId="0" borderId="2" xfId="4" applyBorder="1" applyAlignment="1">
      <alignment horizontal="left" vertical="top" wrapText="1"/>
    </xf>
    <xf numFmtId="1" fontId="5" fillId="0" borderId="0" xfId="4" applyNumberFormat="1">
      <alignment vertical="top"/>
    </xf>
    <xf numFmtId="0" fontId="7" fillId="5" borderId="1" xfId="5" applyNumberFormat="1">
      <alignment vertical="top"/>
    </xf>
    <xf numFmtId="0" fontId="12" fillId="0" borderId="0" xfId="4" applyFont="1">
      <alignment vertical="top"/>
    </xf>
    <xf numFmtId="49" fontId="11" fillId="5" borderId="2" xfId="5" applyFont="1" applyBorder="1">
      <alignment vertical="top"/>
    </xf>
    <xf numFmtId="0" fontId="5" fillId="0" borderId="0" xfId="4" applyAlignment="1">
      <alignment horizontal="center" vertical="top"/>
    </xf>
    <xf numFmtId="0" fontId="5" fillId="11" borderId="0" xfId="4" applyFill="1">
      <alignment vertical="top"/>
    </xf>
    <xf numFmtId="49" fontId="5" fillId="16" borderId="2" xfId="6" applyFont="1" applyBorder="1">
      <alignment vertical="top"/>
    </xf>
    <xf numFmtId="49" fontId="9" fillId="0" borderId="0" xfId="14">
      <alignment vertical="top"/>
    </xf>
    <xf numFmtId="49" fontId="6" fillId="0" borderId="0" xfId="7">
      <alignment vertical="top"/>
    </xf>
    <xf numFmtId="49" fontId="8" fillId="0" borderId="0" xfId="15">
      <alignment vertical="top"/>
    </xf>
    <xf numFmtId="41" fontId="5" fillId="9" borderId="0" xfId="8">
      <alignment vertical="top"/>
    </xf>
    <xf numFmtId="9" fontId="5" fillId="0" borderId="0" xfId="4" applyNumberFormat="1">
      <alignment vertical="top"/>
    </xf>
    <xf numFmtId="41" fontId="5" fillId="7" borderId="0" xfId="10">
      <alignment vertical="top"/>
    </xf>
    <xf numFmtId="41" fontId="5" fillId="43" borderId="0" xfId="11">
      <alignment vertical="top"/>
    </xf>
    <xf numFmtId="10" fontId="5" fillId="0" borderId="0" xfId="64">
      <alignment vertical="top"/>
    </xf>
    <xf numFmtId="41" fontId="5" fillId="10" borderId="0" xfId="13">
      <alignment vertical="top"/>
    </xf>
    <xf numFmtId="41" fontId="5" fillId="8" borderId="0" xfId="9">
      <alignment vertical="top"/>
    </xf>
    <xf numFmtId="0" fontId="8" fillId="11" borderId="0" xfId="4" applyFont="1" applyFill="1">
      <alignment vertical="top"/>
    </xf>
    <xf numFmtId="0" fontId="5" fillId="41" borderId="0" xfId="62" applyNumberFormat="1">
      <alignment vertical="top"/>
    </xf>
    <xf numFmtId="0" fontId="5" fillId="0" borderId="0" xfId="4" applyAlignment="1">
      <alignment horizontal="left" vertical="top" wrapText="1"/>
    </xf>
    <xf numFmtId="0" fontId="6" fillId="0" borderId="2" xfId="4" applyFont="1" applyBorder="1">
      <alignment vertical="top"/>
    </xf>
    <xf numFmtId="49" fontId="12" fillId="0" borderId="0" xfId="14" applyFont="1">
      <alignment vertical="top"/>
    </xf>
    <xf numFmtId="49" fontId="5" fillId="16" borderId="0" xfId="6" applyFont="1" applyBorder="1">
      <alignment vertical="top"/>
    </xf>
    <xf numFmtId="49" fontId="19" fillId="0" borderId="2" xfId="61" applyBorder="1" applyAlignment="1">
      <alignment vertical="top"/>
    </xf>
    <xf numFmtId="49" fontId="28" fillId="0" borderId="2" xfId="61" applyFont="1" applyBorder="1" applyAlignment="1">
      <alignment vertical="top"/>
    </xf>
    <xf numFmtId="0" fontId="0" fillId="0" borderId="2" xfId="0" applyBorder="1">
      <alignment vertical="top"/>
    </xf>
    <xf numFmtId="164" fontId="5" fillId="9" borderId="0" xfId="8" applyNumberFormat="1">
      <alignment vertical="top"/>
    </xf>
    <xf numFmtId="164" fontId="5" fillId="0" borderId="0" xfId="63" applyNumberFormat="1" applyFill="1">
      <alignment vertical="top"/>
    </xf>
    <xf numFmtId="164" fontId="5" fillId="10" borderId="0" xfId="63" applyNumberFormat="1" applyFill="1">
      <alignment vertical="top"/>
    </xf>
    <xf numFmtId="164" fontId="5" fillId="0" borderId="0" xfId="4" applyNumberFormat="1">
      <alignment vertical="top"/>
    </xf>
    <xf numFmtId="43" fontId="5" fillId="0" borderId="0" xfId="63" applyFill="1">
      <alignment vertical="top"/>
    </xf>
    <xf numFmtId="165" fontId="5" fillId="0" borderId="0" xfId="63" applyNumberFormat="1" applyFill="1">
      <alignment vertical="top"/>
    </xf>
    <xf numFmtId="43" fontId="5" fillId="9" borderId="0" xfId="8" applyNumberFormat="1">
      <alignment vertical="top"/>
    </xf>
    <xf numFmtId="0" fontId="0" fillId="0" borderId="0" xfId="0" applyAlignment="1"/>
    <xf numFmtId="164" fontId="0" fillId="11" borderId="0" xfId="63" applyNumberFormat="1" applyFont="1" applyFill="1">
      <alignment vertical="top"/>
    </xf>
    <xf numFmtId="164" fontId="0" fillId="0" borderId="0" xfId="63" applyNumberFormat="1" applyFont="1" applyFill="1">
      <alignment vertical="top"/>
    </xf>
    <xf numFmtId="0" fontId="0" fillId="0" borderId="12" xfId="0" applyBorder="1">
      <alignment vertical="top"/>
    </xf>
    <xf numFmtId="0" fontId="0" fillId="0" borderId="13" xfId="0" applyBorder="1">
      <alignment vertical="top"/>
    </xf>
    <xf numFmtId="164" fontId="0" fillId="0" borderId="13" xfId="63" applyNumberFormat="1" applyFont="1" applyFill="1" applyBorder="1">
      <alignment vertical="top"/>
    </xf>
    <xf numFmtId="0" fontId="0" fillId="0" borderId="14" xfId="0" applyBorder="1">
      <alignment vertical="top"/>
    </xf>
    <xf numFmtId="49" fontId="6" fillId="16" borderId="15" xfId="6" applyBorder="1">
      <alignment vertical="top"/>
    </xf>
    <xf numFmtId="164" fontId="6" fillId="16" borderId="1" xfId="63" applyNumberFormat="1" applyFont="1" applyFill="1" applyBorder="1">
      <alignment vertical="top"/>
    </xf>
    <xf numFmtId="49" fontId="6" fillId="16" borderId="16" xfId="6" applyBorder="1">
      <alignment vertical="top"/>
    </xf>
    <xf numFmtId="0" fontId="0" fillId="0" borderId="17" xfId="0" applyBorder="1">
      <alignment vertical="top"/>
    </xf>
    <xf numFmtId="164" fontId="0" fillId="0" borderId="0" xfId="63" applyNumberFormat="1" applyFont="1" applyFill="1" applyBorder="1">
      <alignment vertical="top"/>
    </xf>
    <xf numFmtId="0" fontId="0" fillId="0" borderId="18" xfId="0" applyBorder="1">
      <alignment vertical="top"/>
    </xf>
    <xf numFmtId="164" fontId="5" fillId="0" borderId="0" xfId="63" applyNumberFormat="1" applyFill="1" applyBorder="1">
      <alignment vertical="top"/>
    </xf>
    <xf numFmtId="0" fontId="5" fillId="0" borderId="18" xfId="4" applyBorder="1">
      <alignment vertical="top"/>
    </xf>
    <xf numFmtId="164" fontId="0" fillId="11" borderId="0" xfId="63" applyNumberFormat="1" applyFont="1" applyFill="1" applyBorder="1">
      <alignment vertical="top"/>
    </xf>
    <xf numFmtId="43" fontId="5" fillId="0" borderId="0" xfId="63" applyFill="1" applyBorder="1">
      <alignment vertical="top"/>
    </xf>
    <xf numFmtId="0" fontId="5" fillId="0" borderId="0" xfId="4" applyAlignment="1">
      <alignment horizontal="right" vertical="top"/>
    </xf>
    <xf numFmtId="165" fontId="5" fillId="0" borderId="0" xfId="63" applyNumberFormat="1" applyFill="1" applyBorder="1" applyAlignment="1">
      <alignment vertical="top"/>
    </xf>
    <xf numFmtId="43" fontId="0" fillId="11" borderId="0" xfId="63" applyFont="1" applyFill="1" applyBorder="1">
      <alignment vertical="top"/>
    </xf>
    <xf numFmtId="165" fontId="5" fillId="0" borderId="0" xfId="63" applyNumberFormat="1" applyFill="1" applyBorder="1">
      <alignment vertical="top"/>
    </xf>
    <xf numFmtId="0" fontId="0" fillId="0" borderId="19" xfId="0" applyBorder="1">
      <alignment vertical="top"/>
    </xf>
    <xf numFmtId="0" fontId="8" fillId="0" borderId="20" xfId="4" applyFont="1" applyBorder="1">
      <alignment vertical="top"/>
    </xf>
    <xf numFmtId="0" fontId="5" fillId="0" borderId="20" xfId="4" applyBorder="1">
      <alignment vertical="top"/>
    </xf>
    <xf numFmtId="0" fontId="5" fillId="0" borderId="21" xfId="4" applyBorder="1">
      <alignment vertical="top"/>
    </xf>
    <xf numFmtId="0" fontId="25" fillId="0" borderId="0" xfId="0" applyFont="1">
      <alignment vertical="top"/>
    </xf>
    <xf numFmtId="10" fontId="0" fillId="11" borderId="0" xfId="0" applyNumberFormat="1" applyFill="1">
      <alignment vertical="top"/>
    </xf>
    <xf numFmtId="0" fontId="25" fillId="0" borderId="0" xfId="0" applyFont="1" applyAlignment="1">
      <alignment vertical="top" wrapText="1"/>
    </xf>
    <xf numFmtId="0" fontId="25" fillId="0" borderId="0" xfId="0" applyFont="1" applyAlignment="1">
      <alignment horizontal="center" vertical="center" wrapText="1"/>
    </xf>
    <xf numFmtId="167" fontId="5" fillId="11" borderId="0" xfId="63" applyNumberFormat="1" applyFill="1" applyBorder="1">
      <alignment vertical="top"/>
    </xf>
    <xf numFmtId="167" fontId="0" fillId="0" borderId="0" xfId="0" applyNumberFormat="1">
      <alignment vertical="top"/>
    </xf>
    <xf numFmtId="10" fontId="5" fillId="11" borderId="0" xfId="0" applyNumberFormat="1" applyFont="1" applyFill="1">
      <alignment vertical="top"/>
    </xf>
    <xf numFmtId="43" fontId="5" fillId="11" borderId="0" xfId="0" applyNumberFormat="1" applyFont="1" applyFill="1">
      <alignment vertical="top"/>
    </xf>
    <xf numFmtId="0" fontId="0" fillId="0" borderId="20" xfId="0" applyBorder="1">
      <alignment vertical="top"/>
    </xf>
    <xf numFmtId="0" fontId="0" fillId="0" borderId="21" xfId="0" applyBorder="1">
      <alignment vertical="top"/>
    </xf>
    <xf numFmtId="164" fontId="5" fillId="11" borderId="0" xfId="63" applyNumberFormat="1" applyFill="1" applyBorder="1">
      <alignment vertical="top"/>
    </xf>
    <xf numFmtId="2" fontId="0" fillId="0" borderId="13" xfId="0" applyNumberFormat="1" applyBorder="1">
      <alignment vertical="top"/>
    </xf>
    <xf numFmtId="2" fontId="0" fillId="0" borderId="14" xfId="0" applyNumberFormat="1" applyBorder="1">
      <alignment vertical="top"/>
    </xf>
    <xf numFmtId="2" fontId="6" fillId="16" borderId="1" xfId="6" applyNumberFormat="1">
      <alignment vertical="top"/>
    </xf>
    <xf numFmtId="2" fontId="6" fillId="16" borderId="16" xfId="6" applyNumberFormat="1" applyBorder="1">
      <alignment vertical="top"/>
    </xf>
    <xf numFmtId="2" fontId="0" fillId="0" borderId="0" xfId="0" applyNumberFormat="1">
      <alignment vertical="top"/>
    </xf>
    <xf numFmtId="2" fontId="0" fillId="0" borderId="18" xfId="0" applyNumberFormat="1" applyBorder="1">
      <alignment vertical="top"/>
    </xf>
    <xf numFmtId="2" fontId="5" fillId="0" borderId="0" xfId="4" applyNumberFormat="1">
      <alignment vertical="top"/>
    </xf>
    <xf numFmtId="2" fontId="5" fillId="0" borderId="18" xfId="4" applyNumberFormat="1" applyBorder="1">
      <alignment vertical="top"/>
    </xf>
    <xf numFmtId="43" fontId="5" fillId="11" borderId="0" xfId="63" applyFill="1" applyBorder="1">
      <alignment vertical="top"/>
    </xf>
    <xf numFmtId="2" fontId="5" fillId="0" borderId="20" xfId="4" applyNumberFormat="1" applyBorder="1">
      <alignment vertical="top"/>
    </xf>
    <xf numFmtId="2" fontId="5" fillId="0" borderId="21" xfId="4" applyNumberFormat="1" applyBorder="1">
      <alignment vertical="top"/>
    </xf>
    <xf numFmtId="166" fontId="5" fillId="11" borderId="0" xfId="63" applyNumberFormat="1" applyFill="1" applyBorder="1">
      <alignment vertical="top"/>
    </xf>
    <xf numFmtId="43" fontId="5" fillId="43" borderId="0" xfId="63" applyFill="1">
      <alignment vertical="top"/>
    </xf>
    <xf numFmtId="168" fontId="5" fillId="8" borderId="0" xfId="9" applyNumberFormat="1">
      <alignment vertical="top"/>
    </xf>
    <xf numFmtId="10" fontId="5" fillId="43" borderId="0" xfId="64" applyFill="1">
      <alignment vertical="top"/>
    </xf>
    <xf numFmtId="10" fontId="5" fillId="8" borderId="0" xfId="64" applyFill="1">
      <alignment vertical="top"/>
    </xf>
    <xf numFmtId="166" fontId="5" fillId="8" borderId="0" xfId="63" applyNumberFormat="1">
      <alignment vertical="top"/>
    </xf>
    <xf numFmtId="49" fontId="6" fillId="16" borderId="1" xfId="6" applyAlignment="1">
      <alignment vertical="top" wrapText="1"/>
    </xf>
    <xf numFmtId="167" fontId="5" fillId="0" borderId="0" xfId="63" applyNumberFormat="1" applyFill="1">
      <alignment vertical="top"/>
    </xf>
    <xf numFmtId="167" fontId="5" fillId="8" borderId="0" xfId="9" applyNumberFormat="1">
      <alignment vertical="top"/>
    </xf>
    <xf numFmtId="9" fontId="5" fillId="43" borderId="0" xfId="64" applyNumberFormat="1" applyFill="1">
      <alignment vertical="top"/>
    </xf>
    <xf numFmtId="169" fontId="5" fillId="43" borderId="0" xfId="64" applyNumberFormat="1" applyFill="1">
      <alignment vertical="top"/>
    </xf>
    <xf numFmtId="169" fontId="5" fillId="7" borderId="0" xfId="64" applyNumberFormat="1" applyFill="1">
      <alignment vertical="top"/>
    </xf>
    <xf numFmtId="0" fontId="1" fillId="0" borderId="0" xfId="0" applyFont="1">
      <alignment vertical="top"/>
    </xf>
    <xf numFmtId="0" fontId="1" fillId="0" borderId="0" xfId="0" applyFont="1" applyAlignment="1">
      <alignment vertical="center"/>
    </xf>
    <xf numFmtId="0" fontId="1" fillId="0" borderId="0" xfId="0" applyFont="1" applyAlignment="1"/>
    <xf numFmtId="49" fontId="5" fillId="0" borderId="0" xfId="14" applyFont="1">
      <alignment vertical="top"/>
    </xf>
    <xf numFmtId="10" fontId="5" fillId="0" borderId="0" xfId="64" applyFont="1" applyFill="1" applyAlignment="1">
      <alignment vertical="top"/>
    </xf>
    <xf numFmtId="167" fontId="5" fillId="0" borderId="0" xfId="11" applyNumberFormat="1" applyFill="1">
      <alignment vertical="top"/>
    </xf>
    <xf numFmtId="41" fontId="5" fillId="0" borderId="0" xfId="4" applyNumberFormat="1">
      <alignment vertical="top"/>
    </xf>
    <xf numFmtId="49" fontId="8" fillId="0" borderId="0" xfId="7" applyFont="1">
      <alignment vertical="top"/>
    </xf>
    <xf numFmtId="49" fontId="8" fillId="0" borderId="0" xfId="7" applyFont="1" applyAlignment="1">
      <alignment vertical="top" wrapText="1"/>
    </xf>
    <xf numFmtId="165" fontId="5" fillId="43" borderId="0" xfId="11" applyNumberFormat="1">
      <alignment vertical="top"/>
    </xf>
    <xf numFmtId="167" fontId="5" fillId="43" borderId="0" xfId="11" applyNumberFormat="1">
      <alignment vertical="top"/>
    </xf>
    <xf numFmtId="167" fontId="5" fillId="0" borderId="0" xfId="63" applyNumberFormat="1" applyFont="1" applyFill="1">
      <alignment vertical="top"/>
    </xf>
    <xf numFmtId="10" fontId="5" fillId="43" borderId="0" xfId="11" applyNumberFormat="1">
      <alignment vertical="top"/>
    </xf>
    <xf numFmtId="168" fontId="5" fillId="43" borderId="0" xfId="11" applyNumberFormat="1">
      <alignment vertical="top"/>
    </xf>
    <xf numFmtId="43" fontId="5" fillId="0" borderId="0" xfId="4" applyNumberFormat="1">
      <alignment vertical="top"/>
    </xf>
    <xf numFmtId="166" fontId="5" fillId="0" borderId="0" xfId="12" applyNumberFormat="1" applyFill="1">
      <alignment vertical="top"/>
    </xf>
    <xf numFmtId="171" fontId="5" fillId="43" borderId="0" xfId="11" applyNumberFormat="1">
      <alignment vertical="top"/>
    </xf>
    <xf numFmtId="10" fontId="5" fillId="10" borderId="0" xfId="64" applyFill="1">
      <alignment vertical="top"/>
    </xf>
    <xf numFmtId="43" fontId="5" fillId="10" borderId="0" xfId="63" applyFill="1">
      <alignment vertical="top"/>
    </xf>
    <xf numFmtId="167" fontId="5" fillId="0" borderId="0" xfId="4" applyNumberFormat="1">
      <alignment vertical="top"/>
    </xf>
    <xf numFmtId="168" fontId="5" fillId="7" borderId="0" xfId="10" applyNumberFormat="1">
      <alignment vertical="top"/>
    </xf>
    <xf numFmtId="167" fontId="5" fillId="7" borderId="0" xfId="10" applyNumberFormat="1">
      <alignment vertical="top"/>
    </xf>
    <xf numFmtId="167" fontId="5" fillId="8" borderId="0" xfId="11" applyNumberFormat="1" applyFill="1">
      <alignment vertical="top"/>
    </xf>
    <xf numFmtId="167" fontId="5" fillId="41" borderId="0" xfId="62" applyNumberFormat="1">
      <alignment vertical="top"/>
    </xf>
    <xf numFmtId="3" fontId="5" fillId="0" borderId="0" xfId="4" applyNumberFormat="1">
      <alignment vertical="top"/>
    </xf>
    <xf numFmtId="164" fontId="5" fillId="43" borderId="0" xfId="63" applyNumberFormat="1" applyFill="1">
      <alignment vertical="top"/>
    </xf>
    <xf numFmtId="164" fontId="5" fillId="43" borderId="0" xfId="11" applyNumberFormat="1">
      <alignment vertical="top"/>
    </xf>
    <xf numFmtId="0" fontId="5" fillId="0" borderId="0" xfId="4" applyAlignment="1">
      <alignment vertical="top" wrapText="1"/>
    </xf>
    <xf numFmtId="167" fontId="5" fillId="10" borderId="0" xfId="13" applyNumberFormat="1">
      <alignment vertical="top"/>
    </xf>
    <xf numFmtId="164" fontId="5" fillId="10" borderId="0" xfId="13" applyNumberFormat="1">
      <alignment vertical="top"/>
    </xf>
    <xf numFmtId="167" fontId="5" fillId="9" borderId="0" xfId="8" applyNumberFormat="1">
      <alignment vertical="top"/>
    </xf>
    <xf numFmtId="170" fontId="5" fillId="0" borderId="0" xfId="4" applyNumberFormat="1">
      <alignment vertical="top"/>
    </xf>
    <xf numFmtId="164" fontId="5" fillId="8" borderId="0" xfId="9" applyNumberFormat="1">
      <alignment vertical="top"/>
    </xf>
    <xf numFmtId="172" fontId="5" fillId="0" borderId="0" xfId="4" applyNumberFormat="1">
      <alignment vertical="top"/>
    </xf>
    <xf numFmtId="43" fontId="5" fillId="10" borderId="0" xfId="13" applyNumberFormat="1">
      <alignment vertical="top"/>
    </xf>
    <xf numFmtId="49" fontId="5" fillId="0" borderId="0" xfId="15" applyFont="1">
      <alignment vertical="top"/>
    </xf>
    <xf numFmtId="167" fontId="5" fillId="41" borderId="0" xfId="63" applyNumberFormat="1" applyFill="1">
      <alignment vertical="top"/>
    </xf>
    <xf numFmtId="173" fontId="5" fillId="10" borderId="0" xfId="13" applyNumberFormat="1">
      <alignment vertical="top"/>
    </xf>
    <xf numFmtId="171" fontId="5" fillId="10" borderId="0" xfId="13" applyNumberFormat="1">
      <alignment vertical="top"/>
    </xf>
    <xf numFmtId="164" fontId="5" fillId="8" borderId="0" xfId="63" applyNumberFormat="1">
      <alignment vertical="top"/>
    </xf>
    <xf numFmtId="169" fontId="5" fillId="10" borderId="0" xfId="13" applyNumberFormat="1">
      <alignment vertical="top"/>
    </xf>
    <xf numFmtId="167" fontId="5" fillId="10" borderId="0" xfId="63" applyNumberFormat="1" applyFont="1" applyFill="1" applyAlignment="1">
      <alignment vertical="top"/>
    </xf>
    <xf numFmtId="164" fontId="5" fillId="9" borderId="0" xfId="63" applyNumberFormat="1" applyFill="1">
      <alignment vertical="top"/>
    </xf>
    <xf numFmtId="10" fontId="5" fillId="10" borderId="0" xfId="13" applyNumberFormat="1">
      <alignment vertical="top"/>
    </xf>
    <xf numFmtId="173" fontId="5" fillId="0" borderId="0" xfId="4" applyNumberFormat="1">
      <alignment vertical="top"/>
    </xf>
    <xf numFmtId="43" fontId="5" fillId="8" borderId="0" xfId="63">
      <alignment vertical="top"/>
    </xf>
    <xf numFmtId="174" fontId="5" fillId="10" borderId="0" xfId="13" applyNumberFormat="1">
      <alignment vertical="top"/>
    </xf>
    <xf numFmtId="43" fontId="5" fillId="9" borderId="0" xfId="63" applyFill="1">
      <alignment vertical="top"/>
    </xf>
    <xf numFmtId="167" fontId="5" fillId="8" borderId="0" xfId="63" applyNumberFormat="1">
      <alignment vertical="top"/>
    </xf>
    <xf numFmtId="173" fontId="5" fillId="8" borderId="0" xfId="9" applyNumberFormat="1">
      <alignment vertical="top"/>
    </xf>
    <xf numFmtId="175" fontId="5" fillId="0" borderId="0" xfId="4" applyNumberFormat="1">
      <alignment vertical="top"/>
    </xf>
    <xf numFmtId="166" fontId="5" fillId="0" borderId="0" xfId="4" applyNumberFormat="1">
      <alignment vertical="top"/>
    </xf>
    <xf numFmtId="43" fontId="5" fillId="8" borderId="0" xfId="9" applyNumberFormat="1">
      <alignment vertical="top"/>
    </xf>
    <xf numFmtId="166" fontId="5" fillId="9" borderId="0" xfId="63" applyNumberFormat="1" applyFill="1">
      <alignment vertical="top"/>
    </xf>
    <xf numFmtId="15" fontId="5" fillId="43" borderId="0" xfId="11" applyNumberFormat="1">
      <alignment vertical="top"/>
    </xf>
    <xf numFmtId="41" fontId="5" fillId="0" borderId="0" xfId="11" applyFill="1">
      <alignment vertical="top"/>
    </xf>
    <xf numFmtId="49" fontId="6" fillId="0" borderId="0" xfId="15" applyFont="1">
      <alignment vertical="top"/>
    </xf>
    <xf numFmtId="49" fontId="19" fillId="0" borderId="22" xfId="61" applyBorder="1" applyAlignment="1">
      <alignment vertical="top"/>
    </xf>
    <xf numFmtId="49" fontId="19" fillId="0" borderId="23" xfId="61" applyBorder="1" applyAlignment="1">
      <alignment vertical="top"/>
    </xf>
    <xf numFmtId="43" fontId="5" fillId="10" borderId="0" xfId="63" applyFont="1" applyFill="1" applyAlignment="1">
      <alignment vertical="top"/>
    </xf>
    <xf numFmtId="41" fontId="5" fillId="0" borderId="0" xfId="9" applyFill="1">
      <alignment vertical="top"/>
    </xf>
    <xf numFmtId="10" fontId="5" fillId="0" borderId="0" xfId="64" applyFill="1">
      <alignment vertical="top"/>
    </xf>
    <xf numFmtId="41" fontId="5" fillId="0" borderId="0" xfId="13" applyFill="1">
      <alignment vertical="top"/>
    </xf>
    <xf numFmtId="164" fontId="5" fillId="0" borderId="0" xfId="13" applyNumberFormat="1" applyFill="1">
      <alignment vertical="top"/>
    </xf>
    <xf numFmtId="0" fontId="5" fillId="0" borderId="0" xfId="64" applyNumberFormat="1">
      <alignment vertical="top"/>
    </xf>
    <xf numFmtId="167" fontId="5" fillId="0" borderId="0" xfId="9" applyNumberFormat="1" applyFill="1">
      <alignment vertical="top"/>
    </xf>
    <xf numFmtId="168" fontId="5" fillId="0" borderId="0" xfId="9" applyNumberFormat="1" applyFill="1">
      <alignment vertical="top"/>
    </xf>
    <xf numFmtId="166" fontId="5" fillId="10" borderId="0" xfId="63" applyNumberFormat="1" applyFill="1">
      <alignment vertical="top"/>
    </xf>
    <xf numFmtId="164" fontId="5" fillId="0" borderId="0" xfId="8" applyNumberFormat="1" applyFill="1">
      <alignment vertical="top"/>
    </xf>
    <xf numFmtId="43" fontId="5" fillId="0" borderId="0" xfId="8" applyNumberFormat="1" applyFill="1">
      <alignment vertical="top"/>
    </xf>
    <xf numFmtId="0" fontId="0" fillId="0" borderId="0" xfId="0" applyFont="1">
      <alignment vertical="top"/>
    </xf>
    <xf numFmtId="177" fontId="5" fillId="0" borderId="0" xfId="4" applyNumberFormat="1">
      <alignment vertical="top"/>
    </xf>
    <xf numFmtId="178" fontId="5" fillId="0" borderId="0" xfId="4" applyNumberFormat="1">
      <alignment vertical="top"/>
    </xf>
    <xf numFmtId="179" fontId="5" fillId="0" borderId="0" xfId="4" applyNumberFormat="1">
      <alignment vertical="top"/>
    </xf>
    <xf numFmtId="0" fontId="5" fillId="0" borderId="0" xfId="4" applyFill="1">
      <alignment vertical="top"/>
    </xf>
    <xf numFmtId="170" fontId="5" fillId="10" borderId="0" xfId="63" applyNumberFormat="1" applyFill="1">
      <alignment vertical="top"/>
    </xf>
    <xf numFmtId="43" fontId="5" fillId="9" borderId="0" xfId="63" applyNumberFormat="1" applyFill="1">
      <alignment vertical="top"/>
    </xf>
    <xf numFmtId="166" fontId="5" fillId="9" borderId="0" xfId="8" applyNumberFormat="1">
      <alignment vertical="top"/>
    </xf>
    <xf numFmtId="176" fontId="5" fillId="43" borderId="0" xfId="11" applyNumberFormat="1">
      <alignment vertical="top"/>
    </xf>
    <xf numFmtId="0" fontId="6" fillId="0" borderId="0" xfId="4" applyFont="1" applyFill="1">
      <alignment vertical="top"/>
    </xf>
    <xf numFmtId="0" fontId="5" fillId="0" borderId="0" xfId="4" applyAlignment="1">
      <alignment horizontal="left" vertical="top" wrapText="1"/>
    </xf>
  </cellXfs>
  <cellStyles count="66">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ijzonderheid" xfId="10" xr:uid="{00000000-0005-0000-0000-00001E000000}"/>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B86083FC-F065-4A0E-BBB9-07EBFAAF5D42}"/>
            </a:ext>
          </a:extLst>
        </xdr:cNvPr>
        <xdr:cNvPicPr>
          <a:picLocks noChangeAspect="1"/>
        </xdr:cNvPicPr>
      </xdr:nvPicPr>
      <xdr:blipFill>
        <a:blip xmlns:r="http://schemas.openxmlformats.org/officeDocument/2006/relationships" r:embed="rId1"/>
        <a:stretch>
          <a:fillRect/>
        </a:stretch>
      </xdr:blipFill>
      <xdr:spPr>
        <a:xfrm>
          <a:off x="4476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beschikking-variabel-tarief-elektriciteit-1-juli-2022-bonaire-caribisch-nederland" TargetMode="External"/><Relationship Id="rId3" Type="http://schemas.openxmlformats.org/officeDocument/2006/relationships/hyperlink" Target="https://www.acm.nl/nl/publicaties/wacc-elektriciteit-en-drinkwater-caribisch-nederland-2023-2025" TargetMode="External"/><Relationship Id="rId7" Type="http://schemas.openxmlformats.org/officeDocument/2006/relationships/hyperlink" Target="https://www.acm.nl/nl/publicaties/beschikking-productieprijs-elektriciteit-2022-bonaire-web-caribisch-nederland" TargetMode="External"/><Relationship Id="rId12" Type="http://schemas.openxmlformats.org/officeDocument/2006/relationships/printerSettings" Target="../printerSettings/printerSettings3.bin"/><Relationship Id="rId2" Type="http://schemas.openxmlformats.org/officeDocument/2006/relationships/hyperlink" Target="https://www.acm.nl/sites/default/files/documents/2019-09/besluit-wacc-caribisch-nederland-2020-2025.pdf" TargetMode="External"/><Relationship Id="rId1" Type="http://schemas.openxmlformats.org/officeDocument/2006/relationships/hyperlink" Target="https://opendata.cbs.nl/" TargetMode="External"/><Relationship Id="rId6" Type="http://schemas.openxmlformats.org/officeDocument/2006/relationships/hyperlink" Target="https://www.acm.nl/nl/publicaties/beschikking-distributietarieven-drinkwater-2023-bonaire-web" TargetMode="External"/><Relationship Id="rId11" Type="http://schemas.openxmlformats.org/officeDocument/2006/relationships/hyperlink" Target="https://www.acm.nl/nl/publicaties/beschikking-productieprijs-elektriciteit-2022-bonaire-contourglobal-caribisch-nederland" TargetMode="External"/><Relationship Id="rId5" Type="http://schemas.openxmlformats.org/officeDocument/2006/relationships/hyperlink" Target="https://www.acm.nl/nl/publicaties/beschikking-distributietarieven-elektriciteit-2023-bonaire-web" TargetMode="External"/><Relationship Id="rId10" Type="http://schemas.openxmlformats.org/officeDocument/2006/relationships/hyperlink" Target="https://www.webbonaire.com/wp-content/uploads/2021/12/WEB-NL-Elektriciteitstarieven-per-1-januari-2022.pdf" TargetMode="External"/><Relationship Id="rId4" Type="http://schemas.openxmlformats.org/officeDocument/2006/relationships/hyperlink" Target="https://www.cbs.nl/nl-nl/maatwerk/2021/45/cpi-caribisch-nederland-exclusief-covid-19-toeslagen" TargetMode="External"/><Relationship Id="rId9" Type="http://schemas.openxmlformats.org/officeDocument/2006/relationships/hyperlink" Target="https://www.acm.nl/nl/publicaties/beschikking-productieprijs-elektriciteit-2023-bonaire-we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513D-74C9-426C-A80B-4E095D21CB76}">
  <sheetPr>
    <tabColor rgb="FFCCC8D9"/>
  </sheetPr>
  <dimension ref="A2:E45"/>
  <sheetViews>
    <sheetView showGridLines="0" tabSelected="1" zoomScale="85" zoomScaleNormal="85" workbookViewId="0">
      <pane ySplit="3" topLeftCell="A4" activePane="bottomLeft" state="frozen"/>
      <selection activeCell="A4" sqref="A4"/>
      <selection pane="bottomLeft"/>
    </sheetView>
  </sheetViews>
  <sheetFormatPr defaultRowHeight="12.75" x14ac:dyDescent="0.2"/>
  <cols>
    <col min="1" max="1" width="5.7109375" style="2" customWidth="1"/>
    <col min="2" max="2" width="43.7109375" style="2" customWidth="1"/>
    <col min="3" max="3" width="91.85546875" style="2" customWidth="1"/>
    <col min="4" max="4" width="5.7109375" style="2" customWidth="1"/>
    <col min="5" max="16384" width="9.140625" style="2"/>
  </cols>
  <sheetData>
    <row r="2" spans="2:5" s="6" customFormat="1" ht="18" x14ac:dyDescent="0.2">
      <c r="B2" s="6" t="s">
        <v>0</v>
      </c>
    </row>
    <row r="13" spans="2:5" s="7" customFormat="1" x14ac:dyDescent="0.2">
      <c r="B13" s="7" t="s">
        <v>1</v>
      </c>
    </row>
    <row r="15" spans="2:5" x14ac:dyDescent="0.2">
      <c r="B15" s="8" t="s">
        <v>2</v>
      </c>
      <c r="C15" s="8" t="s">
        <v>353</v>
      </c>
      <c r="E15" s="16"/>
    </row>
    <row r="16" spans="2:5" x14ac:dyDescent="0.2">
      <c r="B16" s="8" t="s">
        <v>3</v>
      </c>
      <c r="C16" s="8" t="s">
        <v>354</v>
      </c>
    </row>
    <row r="17" spans="2:3" x14ac:dyDescent="0.2">
      <c r="B17" s="8" t="s">
        <v>4</v>
      </c>
      <c r="C17" s="8" t="s">
        <v>355</v>
      </c>
    </row>
    <row r="18" spans="2:3" x14ac:dyDescent="0.2">
      <c r="B18" s="8" t="s">
        <v>5</v>
      </c>
      <c r="C18" s="8" t="s">
        <v>66</v>
      </c>
    </row>
    <row r="19" spans="2:3" x14ac:dyDescent="0.2">
      <c r="B19" s="8" t="s">
        <v>6</v>
      </c>
      <c r="C19" s="8" t="s">
        <v>356</v>
      </c>
    </row>
    <row r="20" spans="2:3" x14ac:dyDescent="0.2">
      <c r="B20" s="8" t="s">
        <v>7</v>
      </c>
      <c r="C20" s="8" t="s">
        <v>357</v>
      </c>
    </row>
    <row r="22" spans="2:3" x14ac:dyDescent="0.2">
      <c r="B22" s="18" t="s">
        <v>65</v>
      </c>
    </row>
    <row r="24" spans="2:3" x14ac:dyDescent="0.2">
      <c r="B24" s="29" t="s">
        <v>67</v>
      </c>
      <c r="C24" s="29" t="s">
        <v>68</v>
      </c>
    </row>
    <row r="25" spans="2:3" x14ac:dyDescent="0.2">
      <c r="B25" s="5" t="s">
        <v>358</v>
      </c>
      <c r="C25" s="5" t="s">
        <v>359</v>
      </c>
    </row>
    <row r="26" spans="2:3" x14ac:dyDescent="0.2">
      <c r="B26" s="5" t="s">
        <v>360</v>
      </c>
      <c r="C26" s="5" t="s">
        <v>361</v>
      </c>
    </row>
    <row r="27" spans="2:3" x14ac:dyDescent="0.2">
      <c r="B27" s="5" t="s">
        <v>362</v>
      </c>
      <c r="C27" s="5" t="s">
        <v>363</v>
      </c>
    </row>
    <row r="28" spans="2:3" x14ac:dyDescent="0.2">
      <c r="B28" s="5" t="s">
        <v>364</v>
      </c>
      <c r="C28" s="5" t="s">
        <v>365</v>
      </c>
    </row>
    <row r="31" spans="2:3" s="7" customFormat="1" x14ac:dyDescent="0.2">
      <c r="B31" s="7" t="s">
        <v>8</v>
      </c>
    </row>
    <row r="33" spans="1:4" x14ac:dyDescent="0.2">
      <c r="A33" s="175"/>
      <c r="B33" s="8" t="s">
        <v>53</v>
      </c>
      <c r="C33" s="8" t="s">
        <v>69</v>
      </c>
    </row>
    <row r="34" spans="1:4" ht="25.5" x14ac:dyDescent="0.2">
      <c r="A34" s="175"/>
      <c r="B34" s="8" t="s">
        <v>55</v>
      </c>
      <c r="C34" s="8" t="s">
        <v>69</v>
      </c>
    </row>
    <row r="35" spans="1:4" x14ac:dyDescent="0.2">
      <c r="A35" s="175"/>
      <c r="B35" s="8" t="s">
        <v>54</v>
      </c>
      <c r="C35" s="8" t="s">
        <v>773</v>
      </c>
    </row>
    <row r="36" spans="1:4" ht="25.5" x14ac:dyDescent="0.2">
      <c r="A36" s="175"/>
      <c r="B36" s="8" t="s">
        <v>56</v>
      </c>
      <c r="C36" s="8" t="s">
        <v>69</v>
      </c>
    </row>
    <row r="37" spans="1:4" ht="25.5" x14ac:dyDescent="0.2">
      <c r="A37" s="175"/>
      <c r="B37" s="8" t="s">
        <v>57</v>
      </c>
      <c r="C37" s="8" t="s">
        <v>774</v>
      </c>
    </row>
    <row r="38" spans="1:4" ht="25.5" x14ac:dyDescent="0.2">
      <c r="A38" s="175"/>
      <c r="B38" s="8" t="s">
        <v>7</v>
      </c>
      <c r="C38" s="8" t="s">
        <v>772</v>
      </c>
    </row>
    <row r="40" spans="1:4" x14ac:dyDescent="0.2">
      <c r="B40" s="181" t="s">
        <v>49</v>
      </c>
      <c r="C40" s="181"/>
      <c r="D40" s="4"/>
    </row>
    <row r="41" spans="1:4" x14ac:dyDescent="0.2">
      <c r="B41" s="28"/>
      <c r="C41" s="28"/>
      <c r="D41" s="4"/>
    </row>
    <row r="44" spans="1:4" x14ac:dyDescent="0.2">
      <c r="B44" s="3"/>
    </row>
    <row r="45" spans="1:4" x14ac:dyDescent="0.2">
      <c r="B45" s="18" t="s">
        <v>58</v>
      </c>
    </row>
  </sheetData>
  <mergeCells count="1">
    <mergeCell ref="B40:C40"/>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FA0C-6EF2-4777-B423-C98913B42973}">
  <sheetPr>
    <tabColor rgb="FFE1FFE1"/>
  </sheetPr>
  <dimension ref="B2:T71"/>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activeCell="T14" sqref="T14"/>
    </sheetView>
  </sheetViews>
  <sheetFormatPr defaultRowHeight="12.75" x14ac:dyDescent="0.2"/>
  <cols>
    <col min="1" max="1" width="5.7109375" style="2" customWidth="1"/>
    <col min="2" max="2" width="62.42578125" style="2" customWidth="1"/>
    <col min="3" max="3" width="20.7109375" style="2" customWidth="1"/>
    <col min="4"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3.85546875" style="2" customWidth="1"/>
    <col min="17" max="17" width="5.28515625" style="2" customWidth="1"/>
    <col min="18" max="18" width="43" style="2" customWidth="1"/>
    <col min="19" max="19" width="3.85546875" style="2" customWidth="1"/>
    <col min="20"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0" s="10" customFormat="1" ht="18" x14ac:dyDescent="0.2">
      <c r="B2" s="10" t="s">
        <v>445</v>
      </c>
    </row>
    <row r="4" spans="2:20" x14ac:dyDescent="0.2">
      <c r="B4" s="17" t="s">
        <v>21</v>
      </c>
      <c r="C4" s="1"/>
      <c r="D4" s="1"/>
      <c r="L4" s="101"/>
    </row>
    <row r="5" spans="2:20" x14ac:dyDescent="0.2">
      <c r="B5" s="2" t="s">
        <v>446</v>
      </c>
      <c r="H5" s="11"/>
    </row>
    <row r="6" spans="2:20" x14ac:dyDescent="0.2">
      <c r="H6" s="11"/>
    </row>
    <row r="8" spans="2:20" s="7" customFormat="1" ht="26.25" customHeight="1" x14ac:dyDescent="0.2">
      <c r="B8" s="7" t="s">
        <v>36</v>
      </c>
      <c r="F8" s="7" t="s">
        <v>19</v>
      </c>
      <c r="H8" s="7" t="s">
        <v>20</v>
      </c>
      <c r="J8" s="7" t="s">
        <v>40</v>
      </c>
      <c r="L8" s="95" t="s">
        <v>204</v>
      </c>
      <c r="M8" s="95" t="s">
        <v>205</v>
      </c>
      <c r="N8" s="95" t="s">
        <v>206</v>
      </c>
      <c r="O8" s="95" t="s">
        <v>207</v>
      </c>
      <c r="P8" s="95" t="s">
        <v>208</v>
      </c>
      <c r="R8" s="7" t="s">
        <v>37</v>
      </c>
      <c r="T8" s="7" t="s">
        <v>38</v>
      </c>
    </row>
    <row r="11" spans="2:20" s="7" customFormat="1" x14ac:dyDescent="0.2">
      <c r="B11" s="7" t="s">
        <v>447</v>
      </c>
    </row>
    <row r="13" spans="2:20" x14ac:dyDescent="0.2">
      <c r="B13" s="17" t="s">
        <v>220</v>
      </c>
      <c r="M13" s="102"/>
    </row>
    <row r="14" spans="2:20" x14ac:dyDescent="0.2">
      <c r="B14" s="2" t="s">
        <v>221</v>
      </c>
      <c r="F14" s="103" t="s">
        <v>153</v>
      </c>
      <c r="L14" s="22">
        <v>231464</v>
      </c>
      <c r="R14" s="2" t="s">
        <v>444</v>
      </c>
      <c r="T14" s="104" t="s">
        <v>450</v>
      </c>
    </row>
    <row r="15" spans="2:20" x14ac:dyDescent="0.2">
      <c r="B15" s="2" t="s">
        <v>449</v>
      </c>
      <c r="F15" s="103" t="s">
        <v>153</v>
      </c>
      <c r="L15" s="22">
        <v>136826479</v>
      </c>
      <c r="M15" s="101"/>
      <c r="R15" s="2" t="s">
        <v>444</v>
      </c>
    </row>
    <row r="16" spans="2:20" x14ac:dyDescent="0.2">
      <c r="F16" s="103"/>
      <c r="L16" s="105"/>
      <c r="M16" s="101"/>
    </row>
    <row r="17" spans="2:20" x14ac:dyDescent="0.2">
      <c r="B17" s="17" t="s">
        <v>222</v>
      </c>
      <c r="F17" s="103"/>
      <c r="M17" s="101"/>
    </row>
    <row r="18" spans="2:20" x14ac:dyDescent="0.2">
      <c r="B18" s="2" t="s">
        <v>223</v>
      </c>
      <c r="F18" s="103" t="s">
        <v>171</v>
      </c>
      <c r="H18" s="106"/>
      <c r="L18" s="107"/>
      <c r="N18" s="22">
        <v>2301173.0000000005</v>
      </c>
      <c r="R18" s="2" t="s">
        <v>461</v>
      </c>
      <c r="T18" s="16"/>
    </row>
    <row r="21" spans="2:20" s="7" customFormat="1" x14ac:dyDescent="0.2">
      <c r="B21" s="7" t="s">
        <v>448</v>
      </c>
    </row>
    <row r="23" spans="2:20" x14ac:dyDescent="0.2">
      <c r="B23" s="1" t="s">
        <v>451</v>
      </c>
    </row>
    <row r="24" spans="2:20" ht="25.5" x14ac:dyDescent="0.2">
      <c r="B24" s="108" t="s">
        <v>102</v>
      </c>
      <c r="C24" s="109" t="s">
        <v>224</v>
      </c>
    </row>
    <row r="25" spans="2:20" x14ac:dyDescent="0.2">
      <c r="B25" s="2" t="s">
        <v>104</v>
      </c>
      <c r="C25" s="110">
        <v>3.1</v>
      </c>
      <c r="F25" s="2" t="s">
        <v>225</v>
      </c>
      <c r="M25" s="111">
        <v>806.49903372595827</v>
      </c>
      <c r="R25" s="2" t="s">
        <v>462</v>
      </c>
    </row>
    <row r="26" spans="2:20" x14ac:dyDescent="0.2">
      <c r="B26" s="2" t="s">
        <v>105</v>
      </c>
      <c r="C26" s="110">
        <v>4.4000000000000004</v>
      </c>
      <c r="F26" s="2" t="s">
        <v>225</v>
      </c>
      <c r="M26" s="111">
        <v>1237.7528476292728</v>
      </c>
      <c r="T26" s="2" t="s">
        <v>226</v>
      </c>
    </row>
    <row r="27" spans="2:20" x14ac:dyDescent="0.2">
      <c r="B27" s="2" t="s">
        <v>106</v>
      </c>
      <c r="C27" s="110">
        <f>+C26</f>
        <v>4.4000000000000004</v>
      </c>
      <c r="F27" s="2" t="s">
        <v>225</v>
      </c>
      <c r="M27" s="111">
        <v>5938.1095328246811</v>
      </c>
      <c r="T27" s="2" t="s">
        <v>226</v>
      </c>
    </row>
    <row r="28" spans="2:20" x14ac:dyDescent="0.2">
      <c r="B28" s="2" t="s">
        <v>107</v>
      </c>
      <c r="C28" s="110">
        <v>11.4</v>
      </c>
      <c r="F28" s="2" t="s">
        <v>225</v>
      </c>
      <c r="M28" s="111">
        <v>873.5126342237636</v>
      </c>
    </row>
    <row r="29" spans="2:20" x14ac:dyDescent="0.2">
      <c r="B29" s="2" t="s">
        <v>108</v>
      </c>
      <c r="C29" s="110">
        <v>19.2</v>
      </c>
      <c r="F29" s="2" t="s">
        <v>225</v>
      </c>
      <c r="M29" s="111">
        <v>370.99364777300337</v>
      </c>
    </row>
    <row r="30" spans="2:20" x14ac:dyDescent="0.2">
      <c r="B30" s="2" t="s">
        <v>109</v>
      </c>
      <c r="C30" s="110">
        <v>30.4</v>
      </c>
      <c r="F30" s="2" t="s">
        <v>225</v>
      </c>
      <c r="M30" s="111">
        <v>191.63324203999468</v>
      </c>
    </row>
    <row r="31" spans="2:20" x14ac:dyDescent="0.2">
      <c r="B31" s="2" t="s">
        <v>110</v>
      </c>
      <c r="C31" s="110">
        <v>38.1</v>
      </c>
      <c r="F31" s="2" t="s">
        <v>225</v>
      </c>
      <c r="M31" s="111">
        <v>93.958143302447468</v>
      </c>
    </row>
    <row r="32" spans="2:20" x14ac:dyDescent="0.2">
      <c r="B32" s="2" t="s">
        <v>111</v>
      </c>
      <c r="C32" s="110">
        <v>47.6</v>
      </c>
      <c r="F32" s="2" t="s">
        <v>225</v>
      </c>
      <c r="M32" s="111">
        <v>43.796244312992222</v>
      </c>
    </row>
    <row r="33" spans="2:18" x14ac:dyDescent="0.2">
      <c r="B33" s="2" t="s">
        <v>112</v>
      </c>
      <c r="C33" s="110">
        <v>52.5</v>
      </c>
      <c r="F33" s="2" t="s">
        <v>225</v>
      </c>
      <c r="M33" s="111">
        <v>0</v>
      </c>
    </row>
    <row r="34" spans="2:18" x14ac:dyDescent="0.2">
      <c r="B34" s="2" t="s">
        <v>113</v>
      </c>
      <c r="C34" s="110">
        <v>60.9</v>
      </c>
      <c r="F34" s="2" t="s">
        <v>225</v>
      </c>
      <c r="M34" s="111">
        <v>8.5445521150181438</v>
      </c>
    </row>
    <row r="35" spans="2:18" x14ac:dyDescent="0.2">
      <c r="B35" s="2" t="s">
        <v>114</v>
      </c>
      <c r="C35" s="110">
        <v>65.7</v>
      </c>
      <c r="F35" s="2" t="s">
        <v>225</v>
      </c>
      <c r="M35" s="111">
        <v>0</v>
      </c>
    </row>
    <row r="36" spans="2:18" x14ac:dyDescent="0.2">
      <c r="B36" s="2" t="s">
        <v>115</v>
      </c>
      <c r="C36" s="110">
        <v>76.099999999999994</v>
      </c>
      <c r="F36" s="2" t="s">
        <v>225</v>
      </c>
      <c r="M36" s="111">
        <v>4.0104290236548783</v>
      </c>
    </row>
    <row r="37" spans="2:18" x14ac:dyDescent="0.2">
      <c r="B37" s="2" t="s">
        <v>227</v>
      </c>
      <c r="C37" s="110">
        <v>1</v>
      </c>
      <c r="F37" s="2" t="s">
        <v>225</v>
      </c>
      <c r="M37" s="22">
        <v>30319.913051931304</v>
      </c>
    </row>
    <row r="38" spans="2:18" x14ac:dyDescent="0.2">
      <c r="B38" s="16"/>
    </row>
    <row r="40" spans="2:18" x14ac:dyDescent="0.2">
      <c r="B40" s="1" t="s">
        <v>228</v>
      </c>
      <c r="N40" s="112"/>
    </row>
    <row r="41" spans="2:18" x14ac:dyDescent="0.2">
      <c r="B41" s="2" t="s">
        <v>229</v>
      </c>
      <c r="C41" s="110">
        <v>4.4000000000000004</v>
      </c>
      <c r="F41" s="2" t="s">
        <v>225</v>
      </c>
      <c r="M41" s="111">
        <v>2754.75</v>
      </c>
      <c r="R41" s="2" t="s">
        <v>462</v>
      </c>
    </row>
    <row r="42" spans="2:18" x14ac:dyDescent="0.2">
      <c r="B42" s="2" t="s">
        <v>230</v>
      </c>
      <c r="F42" s="2" t="s">
        <v>157</v>
      </c>
      <c r="M42" s="21">
        <v>208.33333333333334</v>
      </c>
    </row>
    <row r="44" spans="2:18" x14ac:dyDescent="0.2">
      <c r="B44" s="2" t="s">
        <v>752</v>
      </c>
      <c r="F44" s="2" t="s">
        <v>142</v>
      </c>
      <c r="M44" s="113">
        <v>8.9168918694288099E-2</v>
      </c>
      <c r="R44" s="2" t="s">
        <v>463</v>
      </c>
    </row>
    <row r="47" spans="2:18" x14ac:dyDescent="0.2">
      <c r="B47" s="1" t="s">
        <v>452</v>
      </c>
    </row>
    <row r="48" spans="2:18" ht="25.5" x14ac:dyDescent="0.2">
      <c r="B48" s="108" t="s">
        <v>102</v>
      </c>
      <c r="C48" s="109" t="s">
        <v>231</v>
      </c>
    </row>
    <row r="49" spans="2:18" x14ac:dyDescent="0.2">
      <c r="B49" s="103" t="s">
        <v>127</v>
      </c>
      <c r="C49" s="114">
        <v>0.25</v>
      </c>
      <c r="F49" s="2" t="s">
        <v>225</v>
      </c>
      <c r="O49" s="111">
        <v>11456.178314274614</v>
      </c>
      <c r="R49" s="2" t="s">
        <v>464</v>
      </c>
    </row>
    <row r="50" spans="2:18" x14ac:dyDescent="0.2">
      <c r="B50" s="103" t="s">
        <v>128</v>
      </c>
      <c r="C50" s="114">
        <v>0.5625</v>
      </c>
      <c r="F50" s="2" t="s">
        <v>225</v>
      </c>
      <c r="O50" s="111">
        <v>105.79394602591042</v>
      </c>
    </row>
    <row r="51" spans="2:18" x14ac:dyDescent="0.2">
      <c r="B51" s="103" t="s">
        <v>129</v>
      </c>
      <c r="C51" s="114">
        <v>1</v>
      </c>
      <c r="F51" s="2" t="s">
        <v>225</v>
      </c>
      <c r="O51" s="111">
        <v>12.659159131735102</v>
      </c>
    </row>
    <row r="52" spans="2:18" x14ac:dyDescent="0.2">
      <c r="B52" s="103" t="s">
        <v>453</v>
      </c>
      <c r="C52" s="114">
        <v>1.5625</v>
      </c>
      <c r="F52" s="2" t="s">
        <v>225</v>
      </c>
      <c r="O52" s="111">
        <v>8.3333333333333329E-2</v>
      </c>
    </row>
    <row r="53" spans="2:18" x14ac:dyDescent="0.2">
      <c r="B53" s="103" t="s">
        <v>131</v>
      </c>
      <c r="C53" s="114">
        <v>4</v>
      </c>
      <c r="F53" s="2" t="s">
        <v>225</v>
      </c>
      <c r="O53" s="111">
        <v>13.576977031352007</v>
      </c>
    </row>
    <row r="54" spans="2:18" x14ac:dyDescent="0.2">
      <c r="B54" s="103" t="s">
        <v>132</v>
      </c>
      <c r="C54" s="114">
        <v>16</v>
      </c>
      <c r="F54" s="2" t="s">
        <v>225</v>
      </c>
      <c r="O54" s="111">
        <v>6.0902407310347684</v>
      </c>
    </row>
    <row r="55" spans="2:18" x14ac:dyDescent="0.2">
      <c r="B55" s="2" t="s">
        <v>232</v>
      </c>
      <c r="F55" s="2" t="s">
        <v>225</v>
      </c>
      <c r="O55" s="97">
        <f>SUM(O49:O54)</f>
        <v>11594.381970527982</v>
      </c>
    </row>
    <row r="56" spans="2:18" x14ac:dyDescent="0.2">
      <c r="C56" s="115"/>
    </row>
    <row r="57" spans="2:18" x14ac:dyDescent="0.2">
      <c r="B57" s="2" t="s">
        <v>454</v>
      </c>
      <c r="F57" s="2" t="s">
        <v>171</v>
      </c>
      <c r="P57" s="22">
        <v>15813.5</v>
      </c>
      <c r="R57" s="2" t="s">
        <v>464</v>
      </c>
    </row>
    <row r="59" spans="2:18" x14ac:dyDescent="0.2">
      <c r="B59" s="2" t="s">
        <v>455</v>
      </c>
      <c r="F59" s="2" t="s">
        <v>142</v>
      </c>
      <c r="O59" s="113">
        <v>0.12259312967777755</v>
      </c>
      <c r="R59" s="2" t="s">
        <v>463</v>
      </c>
    </row>
    <row r="62" spans="2:18" s="7" customFormat="1" x14ac:dyDescent="0.2">
      <c r="B62" s="7" t="s">
        <v>456</v>
      </c>
    </row>
    <row r="64" spans="2:18" x14ac:dyDescent="0.2">
      <c r="B64" s="1" t="s">
        <v>457</v>
      </c>
    </row>
    <row r="65" spans="2:16" x14ac:dyDescent="0.2">
      <c r="B65" s="2" t="s">
        <v>233</v>
      </c>
      <c r="F65" s="2" t="s">
        <v>234</v>
      </c>
      <c r="L65" s="13" t="s">
        <v>153</v>
      </c>
      <c r="M65" s="13" t="s">
        <v>155</v>
      </c>
      <c r="N65" s="13" t="s">
        <v>171</v>
      </c>
      <c r="O65" s="13" t="s">
        <v>175</v>
      </c>
      <c r="P65" s="13" t="s">
        <v>171</v>
      </c>
    </row>
    <row r="66" spans="2:16" x14ac:dyDescent="0.2">
      <c r="B66" s="2" t="s">
        <v>235</v>
      </c>
      <c r="F66" s="2" t="s">
        <v>225</v>
      </c>
      <c r="L66" s="19">
        <f>L14</f>
        <v>231464</v>
      </c>
      <c r="M66" s="19">
        <f>SUMPRODUCT(C25:C37,M25:M37)+C41*M41</f>
        <v>105911.59051751401</v>
      </c>
      <c r="N66" s="19">
        <f>N18</f>
        <v>2301173.0000000005</v>
      </c>
      <c r="O66" s="19">
        <f>SUMPRODUCT(C49:C54,O49:O54)</f>
        <v>3088.0948004952606</v>
      </c>
      <c r="P66" s="19">
        <f>P57</f>
        <v>15813.5</v>
      </c>
    </row>
    <row r="67" spans="2:16" x14ac:dyDescent="0.2">
      <c r="B67" s="2" t="s">
        <v>236</v>
      </c>
      <c r="F67" s="2" t="s">
        <v>225</v>
      </c>
      <c r="L67" s="19">
        <f>SUM(L14:L15)</f>
        <v>137057943</v>
      </c>
    </row>
    <row r="71" spans="2:16" x14ac:dyDescent="0.2">
      <c r="B71" s="3" t="s">
        <v>58</v>
      </c>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5850-6D73-4D55-8D2B-94D50450E8AB}">
  <sheetPr>
    <tabColor rgb="FFE1FFE1"/>
  </sheetPr>
  <dimension ref="A2:T88"/>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sheetView>
  </sheetViews>
  <sheetFormatPr defaultRowHeight="12.75" x14ac:dyDescent="0.2"/>
  <cols>
    <col min="1" max="1" width="5.7109375" style="2" customWidth="1"/>
    <col min="2" max="2" width="62.28515625" style="2" customWidth="1"/>
    <col min="3" max="3" width="21.28515625" style="2" customWidth="1"/>
    <col min="4" max="5" width="5.7109375" style="2" customWidth="1"/>
    <col min="6" max="6" width="17.7109375" style="2" customWidth="1"/>
    <col min="7" max="7" width="2.7109375" style="2" customWidth="1"/>
    <col min="8" max="8" width="11.85546875" style="2" customWidth="1"/>
    <col min="9" max="9" width="2.7109375" style="2" customWidth="1"/>
    <col min="10" max="10" width="11" style="2" customWidth="1"/>
    <col min="11" max="11" width="2.7109375" style="2" customWidth="1"/>
    <col min="12" max="16" width="13.85546875" style="2" customWidth="1"/>
    <col min="17" max="17" width="4.85546875" style="2" customWidth="1"/>
    <col min="18" max="18" width="51.140625" style="2" customWidth="1"/>
    <col min="19" max="19" width="5" style="2" customWidth="1"/>
    <col min="20"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0" s="10" customFormat="1" ht="18" x14ac:dyDescent="0.2">
      <c r="B2" s="10" t="s">
        <v>465</v>
      </c>
    </row>
    <row r="4" spans="2:20" x14ac:dyDescent="0.2">
      <c r="B4" s="17" t="s">
        <v>21</v>
      </c>
      <c r="C4" s="1"/>
      <c r="D4" s="1"/>
      <c r="L4" s="101"/>
    </row>
    <row r="5" spans="2:20" x14ac:dyDescent="0.2">
      <c r="B5" s="2" t="s">
        <v>466</v>
      </c>
      <c r="H5" s="11"/>
    </row>
    <row r="6" spans="2:20" x14ac:dyDescent="0.2">
      <c r="B6" s="11"/>
      <c r="H6" s="11"/>
    </row>
    <row r="8" spans="2:20" s="7" customFormat="1" ht="26.25" customHeight="1" x14ac:dyDescent="0.2">
      <c r="B8" s="7" t="s">
        <v>36</v>
      </c>
      <c r="F8" s="7" t="s">
        <v>19</v>
      </c>
      <c r="H8" s="7" t="s">
        <v>20</v>
      </c>
      <c r="J8" s="7" t="s">
        <v>40</v>
      </c>
      <c r="L8" s="95" t="s">
        <v>204</v>
      </c>
      <c r="M8" s="95" t="s">
        <v>205</v>
      </c>
      <c r="N8" s="95" t="s">
        <v>206</v>
      </c>
      <c r="O8" s="95" t="s">
        <v>207</v>
      </c>
      <c r="P8" s="95" t="s">
        <v>208</v>
      </c>
      <c r="R8" s="7" t="s">
        <v>37</v>
      </c>
      <c r="T8" s="7" t="s">
        <v>38</v>
      </c>
    </row>
    <row r="11" spans="2:20" s="7" customFormat="1" x14ac:dyDescent="0.2">
      <c r="B11" s="7" t="s">
        <v>467</v>
      </c>
    </row>
    <row r="13" spans="2:20" x14ac:dyDescent="0.2">
      <c r="B13" s="17" t="s">
        <v>220</v>
      </c>
      <c r="M13" s="102"/>
    </row>
    <row r="14" spans="2:20" x14ac:dyDescent="0.2">
      <c r="B14" s="18" t="s">
        <v>237</v>
      </c>
      <c r="M14" s="102"/>
    </row>
    <row r="15" spans="2:20" x14ac:dyDescent="0.2">
      <c r="B15" s="2" t="s">
        <v>468</v>
      </c>
      <c r="F15" s="103" t="s">
        <v>153</v>
      </c>
      <c r="L15" s="24">
        <f>'Gegevens volumes 2022'!L14</f>
        <v>231464</v>
      </c>
      <c r="R15" s="11"/>
    </row>
    <row r="16" spans="2:20" x14ac:dyDescent="0.2">
      <c r="F16" s="103"/>
      <c r="L16" s="116"/>
    </row>
    <row r="17" spans="1:20" x14ac:dyDescent="0.2">
      <c r="B17" s="18" t="s">
        <v>759</v>
      </c>
      <c r="F17" s="103"/>
    </row>
    <row r="18" spans="1:20" x14ac:dyDescent="0.2">
      <c r="A18" s="175"/>
      <c r="B18" s="2" t="s">
        <v>469</v>
      </c>
      <c r="F18" s="42" t="s">
        <v>372</v>
      </c>
      <c r="L18" s="179">
        <v>0.33860000000000001</v>
      </c>
      <c r="M18" s="171"/>
      <c r="R18" s="2" t="s">
        <v>470</v>
      </c>
      <c r="T18" s="30"/>
    </row>
    <row r="19" spans="1:20" x14ac:dyDescent="0.2">
      <c r="A19" s="175"/>
      <c r="B19" s="2" t="s">
        <v>238</v>
      </c>
      <c r="F19" s="103" t="s">
        <v>153</v>
      </c>
      <c r="L19" s="22">
        <v>147882686</v>
      </c>
      <c r="M19" s="101"/>
      <c r="R19" s="2" t="s">
        <v>470</v>
      </c>
      <c r="T19" s="2" t="s">
        <v>239</v>
      </c>
    </row>
    <row r="20" spans="1:20" x14ac:dyDescent="0.2">
      <c r="F20" s="103"/>
      <c r="L20" s="106"/>
      <c r="M20" s="101"/>
    </row>
    <row r="21" spans="1:20" x14ac:dyDescent="0.2">
      <c r="B21" s="2" t="s">
        <v>471</v>
      </c>
      <c r="F21" s="103" t="s">
        <v>142</v>
      </c>
      <c r="L21" s="92">
        <v>0.48457129668392435</v>
      </c>
      <c r="M21" s="101"/>
      <c r="R21" s="2" t="s">
        <v>444</v>
      </c>
      <c r="T21" t="s">
        <v>478</v>
      </c>
    </row>
    <row r="22" spans="1:20" x14ac:dyDescent="0.2">
      <c r="F22" s="103"/>
      <c r="L22" s="105"/>
      <c r="M22" s="101"/>
    </row>
    <row r="23" spans="1:20" x14ac:dyDescent="0.2">
      <c r="B23" s="17" t="s">
        <v>222</v>
      </c>
      <c r="F23" s="103"/>
      <c r="M23" s="101"/>
    </row>
    <row r="24" spans="1:20" x14ac:dyDescent="0.2">
      <c r="B24" s="2" t="s">
        <v>472</v>
      </c>
      <c r="F24" s="103" t="s">
        <v>171</v>
      </c>
      <c r="H24" s="106"/>
      <c r="N24" s="22">
        <v>2643315</v>
      </c>
      <c r="R24" s="2" t="s">
        <v>444</v>
      </c>
      <c r="T24" s="30"/>
    </row>
    <row r="25" spans="1:20" x14ac:dyDescent="0.2">
      <c r="F25" s="103"/>
      <c r="H25" s="106"/>
      <c r="T25" s="30"/>
    </row>
    <row r="26" spans="1:20" x14ac:dyDescent="0.2">
      <c r="B26" s="18" t="s">
        <v>240</v>
      </c>
      <c r="F26" s="103"/>
      <c r="H26" s="106"/>
      <c r="T26" s="30"/>
    </row>
    <row r="27" spans="1:20" x14ac:dyDescent="0.2">
      <c r="B27" s="2" t="s">
        <v>241</v>
      </c>
      <c r="F27" s="103" t="s">
        <v>242</v>
      </c>
      <c r="H27" s="106"/>
      <c r="N27" s="117">
        <v>3.8348885763912572</v>
      </c>
      <c r="R27" s="2" t="s">
        <v>92</v>
      </c>
      <c r="T27"/>
    </row>
    <row r="28" spans="1:20" x14ac:dyDescent="0.2">
      <c r="B28" s="2" t="s">
        <v>243</v>
      </c>
      <c r="F28" s="103" t="s">
        <v>244</v>
      </c>
      <c r="N28" s="111">
        <v>1967</v>
      </c>
      <c r="R28" s="2" t="s">
        <v>444</v>
      </c>
    </row>
    <row r="30" spans="1:20" x14ac:dyDescent="0.2">
      <c r="B30" s="2" t="s">
        <v>471</v>
      </c>
      <c r="F30" s="103" t="s">
        <v>142</v>
      </c>
      <c r="N30" s="92">
        <v>0.50297161993744954</v>
      </c>
      <c r="R30" s="2" t="s">
        <v>444</v>
      </c>
      <c r="T30"/>
    </row>
    <row r="33" spans="1:20" s="7" customFormat="1" x14ac:dyDescent="0.2">
      <c r="B33" s="7" t="s">
        <v>245</v>
      </c>
    </row>
    <row r="35" spans="1:20" x14ac:dyDescent="0.2">
      <c r="B35" s="2" t="s">
        <v>479</v>
      </c>
      <c r="F35" s="2" t="s">
        <v>142</v>
      </c>
      <c r="M35" s="118">
        <f>'Gegevens volumes 2022'!M44</f>
        <v>8.9168918694288099E-2</v>
      </c>
      <c r="O35" s="118">
        <f>'Gegevens volumes 2022'!O59</f>
        <v>0.12259312967777755</v>
      </c>
      <c r="T35" s="2" t="s">
        <v>477</v>
      </c>
    </row>
    <row r="36" spans="1:20" x14ac:dyDescent="0.2">
      <c r="B36" s="2" t="s">
        <v>480</v>
      </c>
      <c r="F36" s="2" t="s">
        <v>171</v>
      </c>
      <c r="P36" s="24">
        <f>'Gegevens volumes 2022'!P57</f>
        <v>15813.5</v>
      </c>
      <c r="T36" s="2" t="s">
        <v>477</v>
      </c>
    </row>
    <row r="37" spans="1:20" x14ac:dyDescent="0.2">
      <c r="B37" s="2" t="s">
        <v>481</v>
      </c>
      <c r="F37" s="2" t="s">
        <v>157</v>
      </c>
      <c r="M37" s="119">
        <f>'Gegevens volumes 2022'!M42</f>
        <v>208.33333333333334</v>
      </c>
    </row>
    <row r="39" spans="1:20" x14ac:dyDescent="0.2">
      <c r="B39" s="1" t="s">
        <v>117</v>
      </c>
    </row>
    <row r="40" spans="1:20" x14ac:dyDescent="0.2">
      <c r="B40" s="2" t="s">
        <v>334</v>
      </c>
      <c r="F40" s="2" t="s">
        <v>119</v>
      </c>
      <c r="M40" s="90">
        <v>40</v>
      </c>
      <c r="O40" s="90">
        <v>40</v>
      </c>
      <c r="R40" s="2" t="s">
        <v>483</v>
      </c>
    </row>
    <row r="41" spans="1:20" x14ac:dyDescent="0.2">
      <c r="B41" s="2" t="s">
        <v>482</v>
      </c>
      <c r="F41" s="2" t="s">
        <v>119</v>
      </c>
      <c r="M41" s="90">
        <v>1717.5594042521598</v>
      </c>
      <c r="O41" s="90">
        <v>1169.3754844979201</v>
      </c>
      <c r="R41" s="2" t="s">
        <v>483</v>
      </c>
    </row>
    <row r="43" spans="1:20" x14ac:dyDescent="0.2">
      <c r="A43" s="11"/>
    </row>
    <row r="44" spans="1:20" s="7" customFormat="1" x14ac:dyDescent="0.2">
      <c r="B44" s="7" t="s">
        <v>246</v>
      </c>
    </row>
    <row r="46" spans="1:20" x14ac:dyDescent="0.2">
      <c r="B46" s="1" t="s">
        <v>484</v>
      </c>
    </row>
    <row r="48" spans="1:20" ht="25.5" x14ac:dyDescent="0.2">
      <c r="B48" s="108" t="s">
        <v>102</v>
      </c>
      <c r="C48" s="109" t="s">
        <v>224</v>
      </c>
      <c r="R48" s="11"/>
    </row>
    <row r="49" spans="2:20" x14ac:dyDescent="0.2">
      <c r="B49" s="2" t="s">
        <v>104</v>
      </c>
      <c r="C49" s="110">
        <v>3.1</v>
      </c>
      <c r="F49" s="2" t="s">
        <v>225</v>
      </c>
      <c r="L49" s="103"/>
      <c r="M49" s="111">
        <v>744.46875</v>
      </c>
      <c r="R49" s="2" t="s">
        <v>444</v>
      </c>
    </row>
    <row r="50" spans="2:20" x14ac:dyDescent="0.2">
      <c r="B50" s="2" t="s">
        <v>105</v>
      </c>
      <c r="C50" s="110">
        <v>4.4000000000000004</v>
      </c>
      <c r="F50" s="2" t="s">
        <v>225</v>
      </c>
      <c r="L50" s="103"/>
      <c r="M50" s="111">
        <v>1195.875</v>
      </c>
      <c r="T50" s="2" t="s">
        <v>247</v>
      </c>
    </row>
    <row r="51" spans="2:20" x14ac:dyDescent="0.2">
      <c r="B51" s="2" t="s">
        <v>106</v>
      </c>
      <c r="C51" s="110">
        <v>4.4000000000000004</v>
      </c>
      <c r="F51" s="2" t="s">
        <v>225</v>
      </c>
      <c r="L51" s="103"/>
      <c r="M51" s="111">
        <v>9373.84375</v>
      </c>
      <c r="T51" s="2" t="s">
        <v>248</v>
      </c>
    </row>
    <row r="52" spans="2:20" x14ac:dyDescent="0.2">
      <c r="B52" s="2" t="s">
        <v>107</v>
      </c>
      <c r="C52" s="110">
        <v>11.4</v>
      </c>
      <c r="F52" s="2" t="s">
        <v>225</v>
      </c>
      <c r="L52" s="103"/>
      <c r="M52" s="111">
        <v>929.0625</v>
      </c>
    </row>
    <row r="53" spans="2:20" x14ac:dyDescent="0.2">
      <c r="B53" s="2" t="s">
        <v>108</v>
      </c>
      <c r="C53" s="110">
        <v>19.2</v>
      </c>
      <c r="F53" s="2" t="s">
        <v>225</v>
      </c>
      <c r="L53" s="103"/>
      <c r="M53" s="111">
        <v>412.28125</v>
      </c>
    </row>
    <row r="54" spans="2:20" x14ac:dyDescent="0.2">
      <c r="B54" s="2" t="s">
        <v>109</v>
      </c>
      <c r="C54" s="110">
        <v>30.4</v>
      </c>
      <c r="F54" s="2" t="s">
        <v>225</v>
      </c>
      <c r="L54" s="103"/>
      <c r="M54" s="111">
        <v>197.3125</v>
      </c>
    </row>
    <row r="55" spans="2:20" x14ac:dyDescent="0.2">
      <c r="B55" s="2" t="s">
        <v>110</v>
      </c>
      <c r="C55" s="110">
        <v>38.1</v>
      </c>
      <c r="F55" s="2" t="s">
        <v>225</v>
      </c>
      <c r="L55" s="103"/>
      <c r="M55" s="111">
        <v>92.84375</v>
      </c>
    </row>
    <row r="56" spans="2:20" x14ac:dyDescent="0.2">
      <c r="B56" s="2" t="s">
        <v>111</v>
      </c>
      <c r="C56" s="110">
        <v>47.6</v>
      </c>
      <c r="F56" s="2" t="s">
        <v>225</v>
      </c>
      <c r="L56" s="103"/>
      <c r="M56" s="111">
        <v>48.3125</v>
      </c>
    </row>
    <row r="57" spans="2:20" x14ac:dyDescent="0.2">
      <c r="B57" s="2" t="s">
        <v>112</v>
      </c>
      <c r="C57" s="110">
        <v>52.5</v>
      </c>
      <c r="F57" s="2" t="s">
        <v>225</v>
      </c>
      <c r="L57" s="103"/>
      <c r="M57" s="111">
        <v>2</v>
      </c>
    </row>
    <row r="58" spans="2:20" x14ac:dyDescent="0.2">
      <c r="B58" s="2" t="s">
        <v>113</v>
      </c>
      <c r="C58" s="110">
        <v>60.9</v>
      </c>
      <c r="F58" s="2" t="s">
        <v>225</v>
      </c>
      <c r="L58" s="103"/>
      <c r="M58" s="111">
        <v>8</v>
      </c>
    </row>
    <row r="59" spans="2:20" x14ac:dyDescent="0.2">
      <c r="B59" s="2" t="s">
        <v>114</v>
      </c>
      <c r="C59" s="110">
        <v>65.7</v>
      </c>
      <c r="F59" s="2" t="s">
        <v>225</v>
      </c>
      <c r="L59" s="103"/>
      <c r="M59" s="111">
        <v>3</v>
      </c>
    </row>
    <row r="60" spans="2:20" x14ac:dyDescent="0.2">
      <c r="B60" s="2" t="s">
        <v>115</v>
      </c>
      <c r="C60" s="110">
        <v>76.099999999999994</v>
      </c>
      <c r="F60" s="2" t="s">
        <v>225</v>
      </c>
      <c r="L60" s="103"/>
      <c r="M60" s="111">
        <v>4</v>
      </c>
    </row>
    <row r="61" spans="2:20" x14ac:dyDescent="0.2">
      <c r="B61" s="2" t="s">
        <v>249</v>
      </c>
      <c r="C61" s="110">
        <v>1</v>
      </c>
      <c r="M61" s="22">
        <v>31142.502976190484</v>
      </c>
    </row>
    <row r="62" spans="2:20" x14ac:dyDescent="0.2">
      <c r="F62" s="2" t="s">
        <v>225</v>
      </c>
      <c r="M62" s="107"/>
    </row>
    <row r="63" spans="2:20" x14ac:dyDescent="0.2">
      <c r="B63" s="2" t="s">
        <v>250</v>
      </c>
      <c r="C63" s="110">
        <v>4.4000000000000004</v>
      </c>
      <c r="F63" s="2" t="s">
        <v>225</v>
      </c>
      <c r="M63" s="111">
        <v>3005.34375</v>
      </c>
      <c r="N63" s="120"/>
      <c r="R63"/>
    </row>
    <row r="66" spans="1:20" x14ac:dyDescent="0.2">
      <c r="B66" s="1" t="s">
        <v>485</v>
      </c>
    </row>
    <row r="68" spans="1:20" ht="25.5" x14ac:dyDescent="0.2">
      <c r="B68" s="108" t="s">
        <v>102</v>
      </c>
      <c r="C68" s="109" t="s">
        <v>231</v>
      </c>
      <c r="M68" s="120"/>
    </row>
    <row r="69" spans="1:20" x14ac:dyDescent="0.2">
      <c r="B69" s="103" t="s">
        <v>127</v>
      </c>
      <c r="C69" s="119">
        <f>'Gegevens volumes 2022'!C49</f>
        <v>0.25</v>
      </c>
      <c r="F69" s="2" t="s">
        <v>225</v>
      </c>
      <c r="O69" s="111">
        <v>12112</v>
      </c>
      <c r="R69" s="2" t="s">
        <v>444</v>
      </c>
    </row>
    <row r="70" spans="1:20" x14ac:dyDescent="0.2">
      <c r="B70" s="103" t="s">
        <v>128</v>
      </c>
      <c r="C70" s="119">
        <f>'Gegevens volumes 2022'!C50</f>
        <v>0.5625</v>
      </c>
      <c r="F70" s="2" t="s">
        <v>225</v>
      </c>
      <c r="O70" s="111">
        <v>103</v>
      </c>
    </row>
    <row r="71" spans="1:20" x14ac:dyDescent="0.2">
      <c r="B71" s="103" t="s">
        <v>129</v>
      </c>
      <c r="C71" s="119">
        <f>'Gegevens volumes 2022'!C51</f>
        <v>1</v>
      </c>
      <c r="F71" s="2" t="s">
        <v>225</v>
      </c>
      <c r="O71" s="111">
        <v>14</v>
      </c>
    </row>
    <row r="72" spans="1:20" x14ac:dyDescent="0.2">
      <c r="A72" s="175"/>
      <c r="B72" s="42" t="s">
        <v>130</v>
      </c>
      <c r="C72" s="121">
        <f>ROUND(1.25^2,4)</f>
        <v>1.5625</v>
      </c>
      <c r="F72" s="2" t="s">
        <v>225</v>
      </c>
      <c r="O72" s="111">
        <v>0</v>
      </c>
      <c r="T72" s="2" t="s">
        <v>715</v>
      </c>
    </row>
    <row r="73" spans="1:20" x14ac:dyDescent="0.2">
      <c r="B73" s="103" t="s">
        <v>131</v>
      </c>
      <c r="C73" s="119">
        <f>'Gegevens volumes 2022'!C53</f>
        <v>4</v>
      </c>
      <c r="F73" s="2" t="s">
        <v>225</v>
      </c>
      <c r="O73" s="111">
        <v>16</v>
      </c>
    </row>
    <row r="74" spans="1:20" x14ac:dyDescent="0.2">
      <c r="B74" s="103" t="s">
        <v>132</v>
      </c>
      <c r="C74" s="119">
        <f>'Gegevens volumes 2022'!C54</f>
        <v>16</v>
      </c>
      <c r="F74" s="2" t="s">
        <v>225</v>
      </c>
      <c r="O74" s="111">
        <v>6</v>
      </c>
    </row>
    <row r="75" spans="1:20" x14ac:dyDescent="0.2">
      <c r="B75" s="2" t="s">
        <v>251</v>
      </c>
      <c r="F75" s="2" t="s">
        <v>225</v>
      </c>
      <c r="O75" s="97">
        <f>SUM(O69:O74)</f>
        <v>12251</v>
      </c>
    </row>
    <row r="78" spans="1:20" s="7" customFormat="1" x14ac:dyDescent="0.2">
      <c r="B78" s="7" t="s">
        <v>486</v>
      </c>
    </row>
    <row r="80" spans="1:20" x14ac:dyDescent="0.2">
      <c r="B80" s="1" t="s">
        <v>487</v>
      </c>
    </row>
    <row r="81" spans="2:16" x14ac:dyDescent="0.2">
      <c r="B81" s="2" t="s">
        <v>233</v>
      </c>
      <c r="F81" s="2" t="s">
        <v>234</v>
      </c>
      <c r="L81" s="13" t="s">
        <v>153</v>
      </c>
      <c r="M81" s="13" t="s">
        <v>155</v>
      </c>
      <c r="N81" s="13" t="s">
        <v>171</v>
      </c>
      <c r="O81" s="13" t="s">
        <v>175</v>
      </c>
      <c r="P81" s="13" t="s">
        <v>171</v>
      </c>
    </row>
    <row r="82" spans="2:16" x14ac:dyDescent="0.2">
      <c r="B82" s="2" t="s">
        <v>252</v>
      </c>
      <c r="F82" s="2" t="s">
        <v>225</v>
      </c>
      <c r="L82" s="19">
        <f>L15</f>
        <v>231464</v>
      </c>
      <c r="M82" s="19">
        <f>SUMPRODUCT(C49:C61,M49:M61)</f>
        <v>111393.2529761905</v>
      </c>
      <c r="N82" s="19">
        <f>N24</f>
        <v>2643315</v>
      </c>
      <c r="O82" s="19">
        <f>SUMPRODUCT(C69:C74,O69:O74)</f>
        <v>3259.9375</v>
      </c>
      <c r="P82" s="19">
        <f>P36</f>
        <v>15813.5</v>
      </c>
    </row>
    <row r="83" spans="2:16" x14ac:dyDescent="0.2">
      <c r="B83" s="2" t="s">
        <v>253</v>
      </c>
      <c r="F83" s="2" t="s">
        <v>225</v>
      </c>
      <c r="L83" s="19">
        <f>L15+L19</f>
        <v>148114150</v>
      </c>
      <c r="M83" s="107"/>
      <c r="N83" s="19">
        <f>N24</f>
        <v>2643315</v>
      </c>
    </row>
    <row r="85" spans="2:16" x14ac:dyDescent="0.2">
      <c r="M85" s="107"/>
    </row>
    <row r="86" spans="2:16" x14ac:dyDescent="0.2">
      <c r="M86" s="23"/>
    </row>
    <row r="88" spans="2:16" x14ac:dyDescent="0.2">
      <c r="B88" s="3" t="s">
        <v>58</v>
      </c>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D6A7D-AEDF-4723-BEF5-E6019B56AD94}">
  <sheetPr>
    <tabColor rgb="FFE1FFE1"/>
  </sheetPr>
  <dimension ref="B2:T66"/>
  <sheetViews>
    <sheetView showGridLines="0" zoomScale="85" zoomScaleNormal="85" workbookViewId="0">
      <pane xSplit="6" ySplit="9" topLeftCell="G16" activePane="bottomRight" state="frozen"/>
      <selection activeCell="A4" sqref="A4"/>
      <selection pane="topRight" activeCell="A4" sqref="A4"/>
      <selection pane="bottomLeft" activeCell="A4" sqref="A4"/>
      <selection pane="bottomRight" activeCell="T22" sqref="T22"/>
    </sheetView>
  </sheetViews>
  <sheetFormatPr defaultRowHeight="12.75" x14ac:dyDescent="0.2"/>
  <cols>
    <col min="1" max="1" width="5.7109375" style="2" customWidth="1"/>
    <col min="2" max="2" width="62.28515625" style="2" customWidth="1"/>
    <col min="3" max="3" width="21.28515625" style="2" customWidth="1"/>
    <col min="4" max="5" width="5.7109375" style="2" customWidth="1"/>
    <col min="6" max="6" width="17.7109375" style="2" customWidth="1"/>
    <col min="7" max="7" width="2.7109375" style="2" customWidth="1"/>
    <col min="8" max="8" width="11.85546875" style="2" customWidth="1"/>
    <col min="9" max="9" width="2.7109375" style="2" customWidth="1"/>
    <col min="10" max="10" width="11" style="2" customWidth="1"/>
    <col min="11" max="11" width="2.7109375" style="2" customWidth="1"/>
    <col min="12" max="16" width="13.85546875" style="2" customWidth="1"/>
    <col min="17" max="17" width="4.85546875" style="2" customWidth="1"/>
    <col min="18" max="18" width="30.85546875" style="2" customWidth="1"/>
    <col min="19" max="19" width="5" style="2" customWidth="1"/>
    <col min="20"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0" s="10" customFormat="1" ht="18" x14ac:dyDescent="0.2">
      <c r="B2" s="10" t="s">
        <v>495</v>
      </c>
    </row>
    <row r="4" spans="2:20" x14ac:dyDescent="0.2">
      <c r="B4" s="17" t="s">
        <v>21</v>
      </c>
      <c r="C4" s="1"/>
      <c r="D4" s="1"/>
      <c r="L4" s="101"/>
    </row>
    <row r="5" spans="2:20" x14ac:dyDescent="0.2">
      <c r="B5" s="2" t="s">
        <v>496</v>
      </c>
      <c r="H5" s="11"/>
    </row>
    <row r="6" spans="2:20" x14ac:dyDescent="0.2">
      <c r="B6" s="2" t="s">
        <v>553</v>
      </c>
      <c r="H6" s="11"/>
    </row>
    <row r="8" spans="2:20" s="7" customFormat="1" ht="26.25" customHeight="1" x14ac:dyDescent="0.2">
      <c r="B8" s="7" t="s">
        <v>36</v>
      </c>
      <c r="F8" s="7" t="s">
        <v>19</v>
      </c>
      <c r="H8" s="7" t="s">
        <v>20</v>
      </c>
      <c r="J8" s="7" t="s">
        <v>40</v>
      </c>
      <c r="L8" s="95" t="s">
        <v>204</v>
      </c>
      <c r="M8" s="95" t="s">
        <v>205</v>
      </c>
      <c r="N8" s="95" t="s">
        <v>206</v>
      </c>
      <c r="O8" s="95" t="s">
        <v>207</v>
      </c>
      <c r="P8" s="95" t="s">
        <v>208</v>
      </c>
      <c r="R8" s="7" t="s">
        <v>37</v>
      </c>
      <c r="T8" s="7" t="s">
        <v>38</v>
      </c>
    </row>
    <row r="11" spans="2:20" s="7" customFormat="1" x14ac:dyDescent="0.2">
      <c r="B11" s="7" t="s">
        <v>141</v>
      </c>
    </row>
    <row r="13" spans="2:20" x14ac:dyDescent="0.2">
      <c r="B13" s="2" t="s">
        <v>736</v>
      </c>
      <c r="L13" s="118">
        <f>Parameters!H44</f>
        <v>6.4600000000000005E-2</v>
      </c>
      <c r="M13" s="118">
        <f>Parameters!H45</f>
        <v>5.7200000000000001E-2</v>
      </c>
      <c r="N13" s="118">
        <f>Parameters!H46</f>
        <v>6.3799999999999996E-2</v>
      </c>
      <c r="O13" s="118">
        <f>Parameters!H46</f>
        <v>6.3799999999999996E-2</v>
      </c>
    </row>
    <row r="16" spans="2:20" s="7" customFormat="1" x14ac:dyDescent="0.2">
      <c r="B16" s="7" t="s">
        <v>503</v>
      </c>
    </row>
    <row r="18" spans="2:20" x14ac:dyDescent="0.2">
      <c r="B18" s="157" t="s">
        <v>497</v>
      </c>
      <c r="F18" s="103"/>
      <c r="H18" s="106"/>
      <c r="T18" s="30"/>
    </row>
    <row r="19" spans="2:20" x14ac:dyDescent="0.2">
      <c r="B19" s="2" t="s">
        <v>498</v>
      </c>
      <c r="F19" s="42" t="s">
        <v>380</v>
      </c>
      <c r="H19" s="106"/>
      <c r="N19" s="22">
        <v>9466118</v>
      </c>
      <c r="R19" s="2" t="s">
        <v>444</v>
      </c>
      <c r="T19" s="30"/>
    </row>
    <row r="20" spans="2:20" x14ac:dyDescent="0.2">
      <c r="B20" s="2" t="s">
        <v>489</v>
      </c>
      <c r="F20" s="42" t="s">
        <v>473</v>
      </c>
      <c r="H20" s="106"/>
      <c r="N20" s="155">
        <v>45383</v>
      </c>
      <c r="R20" s="2" t="s">
        <v>444</v>
      </c>
      <c r="T20" s="30"/>
    </row>
    <row r="21" spans="2:20" x14ac:dyDescent="0.2">
      <c r="B21" s="2" t="s">
        <v>490</v>
      </c>
      <c r="F21" s="42" t="s">
        <v>474</v>
      </c>
      <c r="H21" s="106"/>
      <c r="N21" s="22">
        <v>20</v>
      </c>
      <c r="R21" s="2" t="s">
        <v>444</v>
      </c>
      <c r="T21" s="30"/>
    </row>
    <row r="22" spans="2:20" x14ac:dyDescent="0.2">
      <c r="B22" s="2" t="s">
        <v>475</v>
      </c>
      <c r="F22" s="42" t="s">
        <v>380</v>
      </c>
      <c r="H22" s="106"/>
      <c r="N22" s="22">
        <v>166950</v>
      </c>
      <c r="R22" s="2" t="s">
        <v>444</v>
      </c>
      <c r="T22" t="s">
        <v>476</v>
      </c>
    </row>
    <row r="23" spans="2:20" x14ac:dyDescent="0.2">
      <c r="F23" s="103"/>
      <c r="H23" s="106"/>
      <c r="T23" s="30"/>
    </row>
    <row r="24" spans="2:20" x14ac:dyDescent="0.2">
      <c r="B24" s="1" t="s">
        <v>491</v>
      </c>
      <c r="F24" s="42"/>
      <c r="H24" s="156"/>
      <c r="M24" s="107"/>
    </row>
    <row r="25" spans="2:20" x14ac:dyDescent="0.2">
      <c r="B25" s="2" t="s">
        <v>500</v>
      </c>
      <c r="F25" s="2" t="s">
        <v>380</v>
      </c>
      <c r="J25" s="22">
        <v>4598994</v>
      </c>
      <c r="L25" s="23"/>
      <c r="M25" s="23"/>
      <c r="N25" s="23"/>
      <c r="O25" s="23"/>
      <c r="R25" s="2" t="s">
        <v>444</v>
      </c>
    </row>
    <row r="26" spans="2:20" x14ac:dyDescent="0.2">
      <c r="B26" s="2" t="s">
        <v>501</v>
      </c>
      <c r="F26" s="2" t="s">
        <v>142</v>
      </c>
      <c r="H26" s="156"/>
      <c r="L26" s="92">
        <v>4.7000000000000002E-3</v>
      </c>
      <c r="M26" s="92">
        <v>0.70529999999999993</v>
      </c>
      <c r="N26" s="92">
        <v>3.8682206620080054E-2</v>
      </c>
      <c r="O26" s="92">
        <v>0.19131779337992</v>
      </c>
      <c r="R26" s="2" t="s">
        <v>444</v>
      </c>
      <c r="T26" s="2" t="s">
        <v>506</v>
      </c>
    </row>
    <row r="27" spans="2:20" x14ac:dyDescent="0.2">
      <c r="B27" s="2" t="s">
        <v>502</v>
      </c>
      <c r="F27" s="2" t="s">
        <v>380</v>
      </c>
      <c r="H27" s="156"/>
      <c r="J27" s="25">
        <f>SUM(L27:O27)</f>
        <v>4323054.3599999994</v>
      </c>
      <c r="L27" s="25">
        <f>$J25*L26</f>
        <v>21615.271800000002</v>
      </c>
      <c r="M27" s="25">
        <f>$J25*M26</f>
        <v>3243670.4681999995</v>
      </c>
      <c r="N27" s="25">
        <f>$J25*N26</f>
        <v>177899.23615250844</v>
      </c>
      <c r="O27" s="25">
        <f>$J25*O26</f>
        <v>879869.38384749182</v>
      </c>
      <c r="R27" s="107"/>
    </row>
    <row r="28" spans="2:20" x14ac:dyDescent="0.2">
      <c r="B28" s="2" t="s">
        <v>489</v>
      </c>
      <c r="F28" s="42" t="s">
        <v>473</v>
      </c>
      <c r="J28" s="155">
        <v>45413</v>
      </c>
      <c r="R28" s="2" t="s">
        <v>444</v>
      </c>
    </row>
    <row r="29" spans="2:20" x14ac:dyDescent="0.2">
      <c r="B29" s="2" t="s">
        <v>490</v>
      </c>
      <c r="F29" s="42" t="s">
        <v>474</v>
      </c>
      <c r="J29" s="22">
        <v>40</v>
      </c>
      <c r="R29" s="2" t="s">
        <v>444</v>
      </c>
    </row>
    <row r="30" spans="2:20" x14ac:dyDescent="0.2">
      <c r="F30" s="42"/>
      <c r="H30" s="156"/>
    </row>
    <row r="31" spans="2:20" x14ac:dyDescent="0.2">
      <c r="B31" s="1" t="s">
        <v>499</v>
      </c>
      <c r="L31" s="107"/>
      <c r="M31" s="107"/>
      <c r="N31" s="107"/>
      <c r="O31" s="107"/>
      <c r="R31" s="107"/>
    </row>
    <row r="32" spans="2:20" x14ac:dyDescent="0.2">
      <c r="B32" s="2" t="s">
        <v>504</v>
      </c>
      <c r="F32" s="2" t="s">
        <v>380</v>
      </c>
      <c r="J32" s="22">
        <v>407643</v>
      </c>
      <c r="R32" s="2" t="s">
        <v>444</v>
      </c>
    </row>
    <row r="33" spans="2:20" x14ac:dyDescent="0.2">
      <c r="B33" s="2" t="s">
        <v>501</v>
      </c>
      <c r="F33" s="2" t="s">
        <v>142</v>
      </c>
      <c r="L33" s="92">
        <v>4.7000000000000002E-3</v>
      </c>
      <c r="M33" s="92">
        <v>0.70529999999999993</v>
      </c>
      <c r="N33" s="92">
        <v>3.8682206620080054E-2</v>
      </c>
      <c r="O33" s="92">
        <v>0.19131779337992</v>
      </c>
      <c r="R33" s="2" t="s">
        <v>444</v>
      </c>
      <c r="T33" s="2" t="s">
        <v>506</v>
      </c>
    </row>
    <row r="34" spans="2:20" x14ac:dyDescent="0.2">
      <c r="B34" s="2" t="s">
        <v>505</v>
      </c>
      <c r="F34" s="2" t="s">
        <v>380</v>
      </c>
      <c r="J34" s="25">
        <f>SUM(L34:O34)</f>
        <v>383184.42</v>
      </c>
      <c r="L34" s="25">
        <f>$J32*L33</f>
        <v>1915.9221</v>
      </c>
      <c r="M34" s="25">
        <f>$J32*M33</f>
        <v>287510.60789999994</v>
      </c>
      <c r="N34" s="25">
        <f>$J32*N33</f>
        <v>15768.530753229294</v>
      </c>
      <c r="O34" s="25">
        <f>$J32*O33</f>
        <v>77989.359246770735</v>
      </c>
    </row>
    <row r="37" spans="2:20" s="7" customFormat="1" x14ac:dyDescent="0.2">
      <c r="B37" s="7" t="s">
        <v>517</v>
      </c>
    </row>
    <row r="39" spans="2:20" x14ac:dyDescent="0.2">
      <c r="B39" s="157" t="s">
        <v>497</v>
      </c>
    </row>
    <row r="40" spans="2:20" x14ac:dyDescent="0.2">
      <c r="B40" s="2" t="s">
        <v>507</v>
      </c>
      <c r="F40" s="2" t="s">
        <v>214</v>
      </c>
      <c r="N40" s="25">
        <f>N19/N21</f>
        <v>473305.9</v>
      </c>
    </row>
    <row r="41" spans="2:20" x14ac:dyDescent="0.2">
      <c r="B41" s="2" t="s">
        <v>508</v>
      </c>
      <c r="F41" s="2" t="s">
        <v>214</v>
      </c>
      <c r="N41" s="25">
        <f>((DATE(2025,1,1)-N20)/365.25)*N40</f>
        <v>356356.25598904863</v>
      </c>
    </row>
    <row r="42" spans="2:20" x14ac:dyDescent="0.2">
      <c r="B42" s="2" t="s">
        <v>509</v>
      </c>
      <c r="F42" s="2" t="s">
        <v>214</v>
      </c>
      <c r="N42" s="24">
        <f>N19</f>
        <v>9466118</v>
      </c>
    </row>
    <row r="43" spans="2:20" x14ac:dyDescent="0.2">
      <c r="B43" s="2" t="s">
        <v>510</v>
      </c>
      <c r="F43" s="2" t="s">
        <v>214</v>
      </c>
      <c r="N43" s="25">
        <f>N42-N41</f>
        <v>9109761.7440109514</v>
      </c>
    </row>
    <row r="44" spans="2:20" x14ac:dyDescent="0.2">
      <c r="B44" s="2" t="s">
        <v>513</v>
      </c>
      <c r="F44" s="2" t="s">
        <v>214</v>
      </c>
      <c r="N44" s="25">
        <f>AVERAGE(N42:N43)</f>
        <v>9287939.8720054757</v>
      </c>
    </row>
    <row r="45" spans="2:20" x14ac:dyDescent="0.2">
      <c r="B45" s="2" t="s">
        <v>511</v>
      </c>
      <c r="F45" s="2" t="s">
        <v>512</v>
      </c>
      <c r="N45" s="25">
        <f>((DATE(2025,1,1)-N20)/365.25)*12</f>
        <v>9.0349075975359341</v>
      </c>
    </row>
    <row r="46" spans="2:20" x14ac:dyDescent="0.2">
      <c r="B46" s="2" t="s">
        <v>514</v>
      </c>
      <c r="F46" s="2" t="s">
        <v>214</v>
      </c>
      <c r="N46" s="25">
        <f>N44*(N45/12)</f>
        <v>6992973.2095866008</v>
      </c>
      <c r="O46" s="115"/>
    </row>
    <row r="47" spans="2:20" x14ac:dyDescent="0.2">
      <c r="B47" s="2" t="s">
        <v>737</v>
      </c>
      <c r="F47" s="2" t="s">
        <v>380</v>
      </c>
      <c r="N47" s="25">
        <f>N46*N13+N41</f>
        <v>802507.94676067377</v>
      </c>
    </row>
    <row r="48" spans="2:20" x14ac:dyDescent="0.2">
      <c r="B48" s="2" t="s">
        <v>515</v>
      </c>
      <c r="F48" s="2" t="s">
        <v>380</v>
      </c>
      <c r="N48" s="24">
        <f>N22</f>
        <v>166950</v>
      </c>
    </row>
    <row r="50" spans="2:15" x14ac:dyDescent="0.2">
      <c r="B50" s="1" t="s">
        <v>491</v>
      </c>
    </row>
    <row r="51" spans="2:15" x14ac:dyDescent="0.2">
      <c r="B51" s="2" t="s">
        <v>507</v>
      </c>
      <c r="F51" s="2" t="s">
        <v>214</v>
      </c>
      <c r="J51" s="25">
        <f>SUM(L51:O51)</f>
        <v>108076.35899999998</v>
      </c>
      <c r="L51" s="25">
        <f>L27/$J29</f>
        <v>540.38179500000001</v>
      </c>
      <c r="M51" s="25">
        <f>M27/$J29</f>
        <v>81091.761704999983</v>
      </c>
      <c r="N51" s="25">
        <f>N27/$J29</f>
        <v>4447.4809038127114</v>
      </c>
      <c r="O51" s="25">
        <f>O27/$J29</f>
        <v>21996.734596187296</v>
      </c>
    </row>
    <row r="52" spans="2:15" x14ac:dyDescent="0.2">
      <c r="B52" s="2" t="s">
        <v>508</v>
      </c>
      <c r="F52" s="2" t="s">
        <v>214</v>
      </c>
      <c r="J52" s="25">
        <f t="shared" ref="J52:J58" si="0">SUM(L52:O52)</f>
        <v>72494.751416837782</v>
      </c>
      <c r="L52" s="25">
        <f>((DATE(2025,1,1)-$J28)/365.25)*L51</f>
        <v>362.47375708418895</v>
      </c>
      <c r="M52" s="25">
        <f>((DATE(2025,1,1)-$J28)/365.25)*M51</f>
        <v>54394.200185420937</v>
      </c>
      <c r="N52" s="25">
        <f>((DATE(2025,1,1)-$J28)/365.25)*N51</f>
        <v>2983.2520778483622</v>
      </c>
      <c r="O52" s="25">
        <f>((DATE(2025,1,1)-$J28)/365.25)*O51</f>
        <v>14754.825396484292</v>
      </c>
    </row>
    <row r="53" spans="2:15" x14ac:dyDescent="0.2">
      <c r="B53" s="2" t="s">
        <v>509</v>
      </c>
      <c r="F53" s="2" t="s">
        <v>214</v>
      </c>
      <c r="J53" s="25">
        <f t="shared" si="0"/>
        <v>4323054.3599999994</v>
      </c>
      <c r="L53" s="24">
        <f>L27</f>
        <v>21615.271800000002</v>
      </c>
      <c r="M53" s="24">
        <f>M27</f>
        <v>3243670.4681999995</v>
      </c>
      <c r="N53" s="24">
        <f>N27</f>
        <v>177899.23615250844</v>
      </c>
      <c r="O53" s="24">
        <f>O27</f>
        <v>879869.38384749182</v>
      </c>
    </row>
    <row r="54" spans="2:15" x14ac:dyDescent="0.2">
      <c r="B54" s="2" t="s">
        <v>510</v>
      </c>
      <c r="F54" s="2" t="s">
        <v>214</v>
      </c>
      <c r="J54" s="25">
        <f t="shared" si="0"/>
        <v>4250559.6085831616</v>
      </c>
      <c r="L54" s="25">
        <f>L53-L52</f>
        <v>21252.798042915812</v>
      </c>
      <c r="M54" s="25">
        <f t="shared" ref="M54:O54" si="1">M53-M52</f>
        <v>3189276.2680145786</v>
      </c>
      <c r="N54" s="25">
        <f t="shared" si="1"/>
        <v>174915.98407466008</v>
      </c>
      <c r="O54" s="25">
        <f t="shared" si="1"/>
        <v>865114.55845100747</v>
      </c>
    </row>
    <row r="55" spans="2:15" x14ac:dyDescent="0.2">
      <c r="B55" s="2" t="s">
        <v>513</v>
      </c>
      <c r="F55" s="2" t="s">
        <v>214</v>
      </c>
      <c r="J55" s="25">
        <f t="shared" si="0"/>
        <v>4286806.9842915814</v>
      </c>
      <c r="L55" s="25">
        <f>AVERAGE(L53:L54)</f>
        <v>21434.034921457907</v>
      </c>
      <c r="M55" s="25">
        <f t="shared" ref="M55:O55" si="2">AVERAGE(M53:M54)</f>
        <v>3216473.3681072891</v>
      </c>
      <c r="N55" s="25">
        <f t="shared" si="2"/>
        <v>176407.61011358426</v>
      </c>
      <c r="O55" s="25">
        <f t="shared" si="2"/>
        <v>872491.9711492497</v>
      </c>
    </row>
    <row r="56" spans="2:15" x14ac:dyDescent="0.2">
      <c r="B56" s="2" t="s">
        <v>511</v>
      </c>
      <c r="F56" s="2" t="s">
        <v>512</v>
      </c>
      <c r="J56" s="161"/>
      <c r="L56" s="25">
        <f>((DATE(2025,1,1)-$J28)/365.25)*12</f>
        <v>8.049281314168379</v>
      </c>
      <c r="M56" s="25">
        <f>((DATE(2025,1,1)-$J28)/365.25)*12</f>
        <v>8.049281314168379</v>
      </c>
      <c r="N56" s="25">
        <f>((DATE(2025,1,1)-$J28)/365.25)*12</f>
        <v>8.049281314168379</v>
      </c>
      <c r="O56" s="25">
        <f>((DATE(2025,1,1)-$J28)/365.25)*12</f>
        <v>8.049281314168379</v>
      </c>
    </row>
    <row r="57" spans="2:15" x14ac:dyDescent="0.2">
      <c r="B57" s="2" t="s">
        <v>514</v>
      </c>
      <c r="F57" s="2" t="s">
        <v>214</v>
      </c>
      <c r="J57" s="25">
        <f t="shared" si="0"/>
        <v>2875476.2796753934</v>
      </c>
      <c r="L57" s="25">
        <f>L55*(L56/12)</f>
        <v>14377.381398376971</v>
      </c>
      <c r="M57" s="25">
        <f t="shared" ref="M57:O57" si="3">M55*(M56/12)</f>
        <v>2157524.9149521859</v>
      </c>
      <c r="N57" s="25">
        <f t="shared" si="3"/>
        <v>118329.53998036456</v>
      </c>
      <c r="O57" s="25">
        <f t="shared" si="3"/>
        <v>585244.44334446604</v>
      </c>
    </row>
    <row r="58" spans="2:15" x14ac:dyDescent="0.2">
      <c r="B58" s="2" t="s">
        <v>737</v>
      </c>
      <c r="F58" s="2" t="s">
        <v>738</v>
      </c>
      <c r="J58" s="25">
        <f t="shared" si="0"/>
        <v>241721.97552656219</v>
      </c>
      <c r="L58" s="25">
        <f>L57*L13+L52</f>
        <v>1291.2525954193413</v>
      </c>
      <c r="M58" s="25">
        <f>M57*M13+M52</f>
        <v>177804.62532068597</v>
      </c>
      <c r="N58" s="25">
        <f>N57*N13+N52</f>
        <v>10532.676728595619</v>
      </c>
      <c r="O58" s="25">
        <f>O57*O13+O52</f>
        <v>52093.420881861224</v>
      </c>
    </row>
    <row r="60" spans="2:15" x14ac:dyDescent="0.2">
      <c r="B60" s="1" t="s">
        <v>499</v>
      </c>
    </row>
    <row r="61" spans="2:15" x14ac:dyDescent="0.2">
      <c r="B61" s="2" t="s">
        <v>516</v>
      </c>
      <c r="F61" s="2" t="s">
        <v>380</v>
      </c>
      <c r="J61" s="25">
        <f>SUM(L61:O61)</f>
        <v>383184.42</v>
      </c>
      <c r="L61" s="24">
        <f>L34</f>
        <v>1915.9221</v>
      </c>
      <c r="M61" s="24">
        <f t="shared" ref="M61:O61" si="4">M34</f>
        <v>287510.60789999994</v>
      </c>
      <c r="N61" s="24">
        <f t="shared" si="4"/>
        <v>15768.530753229294</v>
      </c>
      <c r="O61" s="24">
        <f t="shared" si="4"/>
        <v>77989.359246770735</v>
      </c>
    </row>
    <row r="66" spans="2:2" x14ac:dyDescent="0.2">
      <c r="B66" s="3" t="s">
        <v>58</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A65F-AD25-499F-A6A0-2CA543B0C493}">
  <sheetPr>
    <tabColor rgb="FFE1FFE1"/>
  </sheetPr>
  <dimension ref="A2:T80"/>
  <sheetViews>
    <sheetView showGridLines="0" zoomScale="85" zoomScaleNormal="85" workbookViewId="0">
      <pane xSplit="6" ySplit="13" topLeftCell="G20" activePane="bottomRight" state="frozen"/>
      <selection activeCell="A4" sqref="A4"/>
      <selection pane="topRight" activeCell="A4" sqref="A4"/>
      <selection pane="bottomLeft" activeCell="A4" sqref="A4"/>
      <selection pane="bottomRight" activeCell="B47" sqref="B47"/>
    </sheetView>
  </sheetViews>
  <sheetFormatPr defaultRowHeight="12.75" x14ac:dyDescent="0.2"/>
  <cols>
    <col min="1" max="1" width="5.7109375" style="2" customWidth="1"/>
    <col min="2" max="2" width="76.140625" style="2" customWidth="1"/>
    <col min="3" max="5" width="5.7109375" style="2" customWidth="1"/>
    <col min="6" max="6" width="17.5703125" style="2" customWidth="1"/>
    <col min="7" max="7" width="2.7109375" style="2" customWidth="1"/>
    <col min="8" max="8" width="11.5703125" style="2" customWidth="1"/>
    <col min="9" max="9" width="2.7109375" style="2" customWidth="1"/>
    <col min="10" max="10" width="11.5703125" style="2" customWidth="1"/>
    <col min="11" max="11" width="2.7109375" style="2" customWidth="1"/>
    <col min="12" max="16" width="13.85546875" style="2" customWidth="1"/>
    <col min="17" max="17" width="4" style="2" customWidth="1"/>
    <col min="18" max="18" width="73.140625" style="2" customWidth="1"/>
    <col min="19" max="19" width="4" style="2" customWidth="1"/>
    <col min="20"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0" s="10" customFormat="1" ht="18" x14ac:dyDescent="0.2">
      <c r="B2" s="10" t="s">
        <v>763</v>
      </c>
    </row>
    <row r="4" spans="2:20" x14ac:dyDescent="0.2">
      <c r="B4" s="17" t="s">
        <v>21</v>
      </c>
      <c r="C4" s="1"/>
      <c r="D4" s="1"/>
      <c r="L4"/>
    </row>
    <row r="5" spans="2:20" x14ac:dyDescent="0.2">
      <c r="B5" s="2" t="s">
        <v>761</v>
      </c>
      <c r="H5" s="11"/>
    </row>
    <row r="6" spans="2:20" x14ac:dyDescent="0.2">
      <c r="B6" s="2" t="s">
        <v>762</v>
      </c>
      <c r="H6" s="11"/>
    </row>
    <row r="7" spans="2:20" x14ac:dyDescent="0.2">
      <c r="H7" s="11"/>
    </row>
    <row r="8" spans="2:20" x14ac:dyDescent="0.2">
      <c r="B8" s="18" t="s">
        <v>22</v>
      </c>
      <c r="H8" s="11"/>
    </row>
    <row r="9" spans="2:20" x14ac:dyDescent="0.2">
      <c r="B9" s="18" t="s">
        <v>254</v>
      </c>
      <c r="H9" s="11"/>
      <c r="T9" s="11"/>
    </row>
    <row r="10" spans="2:20" x14ac:dyDescent="0.2">
      <c r="B10" s="18"/>
    </row>
    <row r="12" spans="2:20" s="7" customFormat="1" ht="25.5" x14ac:dyDescent="0.2">
      <c r="B12" s="7" t="s">
        <v>36</v>
      </c>
      <c r="F12" s="7" t="s">
        <v>19</v>
      </c>
      <c r="H12" s="7" t="s">
        <v>20</v>
      </c>
      <c r="J12" s="7" t="s">
        <v>40</v>
      </c>
      <c r="L12" s="95" t="s">
        <v>204</v>
      </c>
      <c r="M12" s="95" t="s">
        <v>205</v>
      </c>
      <c r="N12" s="95" t="s">
        <v>206</v>
      </c>
      <c r="O12" s="95" t="s">
        <v>207</v>
      </c>
      <c r="P12" s="95" t="s">
        <v>208</v>
      </c>
      <c r="R12" s="7" t="s">
        <v>37</v>
      </c>
      <c r="T12" s="7" t="s">
        <v>38</v>
      </c>
    </row>
    <row r="15" spans="2:20" s="7" customFormat="1" x14ac:dyDescent="0.2">
      <c r="B15" s="7" t="s">
        <v>642</v>
      </c>
    </row>
    <row r="16" spans="2:20" x14ac:dyDescent="0.2">
      <c r="L16" s="96"/>
      <c r="M16" s="96"/>
      <c r="N16" s="96"/>
      <c r="O16" s="96"/>
      <c r="P16" s="96"/>
    </row>
    <row r="17" spans="2:20" x14ac:dyDescent="0.2">
      <c r="B17" s="1" t="s">
        <v>643</v>
      </c>
      <c r="M17" s="84"/>
    </row>
    <row r="18" spans="2:20" x14ac:dyDescent="0.2">
      <c r="B18" s="2" t="s">
        <v>644</v>
      </c>
      <c r="F18" s="2" t="s">
        <v>149</v>
      </c>
      <c r="L18" s="111">
        <v>137764.56729977566</v>
      </c>
      <c r="M18" s="111">
        <v>8670809.7298742607</v>
      </c>
      <c r="N18" s="122">
        <v>3479432.1876895493</v>
      </c>
      <c r="O18" s="111">
        <v>4292603.8925476559</v>
      </c>
      <c r="P18" s="111">
        <v>110399.90110099234</v>
      </c>
      <c r="R18" s="2" t="s">
        <v>670</v>
      </c>
      <c r="T18" s="2" t="s">
        <v>255</v>
      </c>
    </row>
    <row r="19" spans="2:20" x14ac:dyDescent="0.2">
      <c r="B19" s="2" t="s">
        <v>645</v>
      </c>
      <c r="F19" s="2" t="s">
        <v>651</v>
      </c>
      <c r="L19" s="114">
        <v>0</v>
      </c>
      <c r="M19" s="114">
        <v>32.273786855984561</v>
      </c>
      <c r="N19" s="114">
        <v>0.29748184522487497</v>
      </c>
      <c r="O19" s="114">
        <v>572.30840075640242</v>
      </c>
      <c r="P19" s="114">
        <v>3.1131589490659941</v>
      </c>
      <c r="R19" s="2" t="s">
        <v>671</v>
      </c>
    </row>
    <row r="20" spans="2:20" x14ac:dyDescent="0.2">
      <c r="B20" s="1"/>
    </row>
    <row r="21" spans="2:20" x14ac:dyDescent="0.2">
      <c r="B21" s="1" t="s">
        <v>646</v>
      </c>
    </row>
    <row r="22" spans="2:20" x14ac:dyDescent="0.2">
      <c r="B22" s="2" t="s">
        <v>233</v>
      </c>
      <c r="F22" s="2" t="s">
        <v>234</v>
      </c>
      <c r="L22" s="13" t="s">
        <v>153</v>
      </c>
      <c r="M22" s="13" t="s">
        <v>155</v>
      </c>
      <c r="N22" s="13" t="s">
        <v>171</v>
      </c>
      <c r="O22" s="13" t="s">
        <v>175</v>
      </c>
      <c r="P22" s="13" t="s">
        <v>171</v>
      </c>
    </row>
    <row r="23" spans="2:20" x14ac:dyDescent="0.2">
      <c r="B23" s="2" t="s">
        <v>647</v>
      </c>
      <c r="F23" s="2" t="s">
        <v>225</v>
      </c>
      <c r="L23" s="111">
        <v>330614</v>
      </c>
      <c r="M23" s="111">
        <v>101701.37000000002</v>
      </c>
      <c r="N23" s="111">
        <v>2147000</v>
      </c>
      <c r="O23" s="111">
        <v>3003.8125</v>
      </c>
      <c r="P23" s="111">
        <v>13113</v>
      </c>
      <c r="R23" s="2" t="s">
        <v>672</v>
      </c>
      <c r="T23" s="2" t="s">
        <v>256</v>
      </c>
    </row>
    <row r="24" spans="2:20" x14ac:dyDescent="0.2">
      <c r="B24" s="2" t="s">
        <v>648</v>
      </c>
      <c r="F24" s="2" t="s">
        <v>225</v>
      </c>
      <c r="L24" s="111">
        <v>132430639</v>
      </c>
      <c r="R24" s="2" t="s">
        <v>673</v>
      </c>
    </row>
    <row r="26" spans="2:20" x14ac:dyDescent="0.2">
      <c r="B26" s="2" t="s">
        <v>649</v>
      </c>
      <c r="F26" s="2" t="s">
        <v>142</v>
      </c>
      <c r="M26" s="92">
        <v>9.8900000000000002E-2</v>
      </c>
      <c r="N26" s="23"/>
      <c r="O26" s="92">
        <v>0.13400000000000001</v>
      </c>
      <c r="R26" s="2" t="s">
        <v>674</v>
      </c>
    </row>
    <row r="29" spans="2:20" s="7" customFormat="1" x14ac:dyDescent="0.2">
      <c r="B29" s="7" t="s">
        <v>650</v>
      </c>
    </row>
    <row r="31" spans="2:20" x14ac:dyDescent="0.2">
      <c r="B31" s="1" t="s">
        <v>257</v>
      </c>
    </row>
    <row r="32" spans="2:20" x14ac:dyDescent="0.2">
      <c r="B32" s="3" t="s">
        <v>258</v>
      </c>
    </row>
    <row r="34" spans="1:20" x14ac:dyDescent="0.2">
      <c r="B34" s="2" t="s">
        <v>259</v>
      </c>
      <c r="F34" s="2" t="s">
        <v>149</v>
      </c>
      <c r="J34" s="123">
        <f>SUM(L34:P34)</f>
        <v>215800.14686511765</v>
      </c>
      <c r="L34" s="124"/>
      <c r="M34" s="111">
        <v>92825.801731927146</v>
      </c>
      <c r="N34" s="124"/>
      <c r="O34" s="111">
        <v>91764.6666331905</v>
      </c>
      <c r="P34" s="111">
        <v>31209.678500000002</v>
      </c>
      <c r="R34" s="2" t="s">
        <v>744</v>
      </c>
      <c r="T34" s="2" t="s">
        <v>261</v>
      </c>
    </row>
    <row r="35" spans="1:20" x14ac:dyDescent="0.2">
      <c r="M35" s="120"/>
    </row>
    <row r="36" spans="1:20" x14ac:dyDescent="0.2">
      <c r="B36" s="1" t="s">
        <v>716</v>
      </c>
      <c r="L36" s="96"/>
      <c r="M36" s="96"/>
      <c r="N36" s="96"/>
    </row>
    <row r="37" spans="1:20" x14ac:dyDescent="0.2">
      <c r="B37" s="2" t="s">
        <v>717</v>
      </c>
      <c r="F37" s="2" t="s">
        <v>718</v>
      </c>
      <c r="L37" s="96"/>
      <c r="M37" s="96"/>
      <c r="N37" s="114">
        <v>9.52</v>
      </c>
      <c r="R37" s="2" t="s">
        <v>719</v>
      </c>
    </row>
    <row r="38" spans="1:20" x14ac:dyDescent="0.2">
      <c r="B38" s="2" t="s">
        <v>720</v>
      </c>
      <c r="F38" s="2" t="s">
        <v>155</v>
      </c>
      <c r="L38" s="96"/>
      <c r="M38" s="96"/>
      <c r="N38" s="111">
        <v>1967</v>
      </c>
      <c r="R38" s="2" t="s">
        <v>724</v>
      </c>
    </row>
    <row r="39" spans="1:20" x14ac:dyDescent="0.2">
      <c r="B39" s="2" t="s">
        <v>725</v>
      </c>
      <c r="F39" s="2" t="s">
        <v>721</v>
      </c>
      <c r="L39" s="96"/>
      <c r="M39" s="96"/>
      <c r="N39" s="97">
        <f>10*N37*N38</f>
        <v>187258.39999999997</v>
      </c>
      <c r="T39" s="2" t="s">
        <v>722</v>
      </c>
    </row>
    <row r="42" spans="1:20" s="7" customFormat="1" x14ac:dyDescent="0.2">
      <c r="B42" s="7" t="s">
        <v>262</v>
      </c>
    </row>
    <row r="43" spans="1:20" x14ac:dyDescent="0.2">
      <c r="N43" s="125"/>
    </row>
    <row r="44" spans="1:20" x14ac:dyDescent="0.2">
      <c r="A44" s="175"/>
      <c r="B44" s="1" t="s">
        <v>745</v>
      </c>
      <c r="N44" s="125"/>
    </row>
    <row r="45" spans="1:20" x14ac:dyDescent="0.2">
      <c r="B45" s="2" t="s">
        <v>746</v>
      </c>
      <c r="F45" s="2" t="s">
        <v>149</v>
      </c>
      <c r="M45" s="111">
        <v>214750.56682551</v>
      </c>
      <c r="R45" s="2" t="s">
        <v>756</v>
      </c>
    </row>
    <row r="46" spans="1:20" x14ac:dyDescent="0.2">
      <c r="R46"/>
    </row>
    <row r="47" spans="1:20" x14ac:dyDescent="0.2">
      <c r="A47" s="175"/>
      <c r="B47" s="1" t="s">
        <v>743</v>
      </c>
      <c r="R47"/>
    </row>
    <row r="48" spans="1:20" x14ac:dyDescent="0.2">
      <c r="B48" s="2" t="s">
        <v>727</v>
      </c>
      <c r="F48" s="2" t="s">
        <v>119</v>
      </c>
      <c r="N48" s="111">
        <v>61881.738884406164</v>
      </c>
      <c r="O48" s="106"/>
      <c r="R48" t="s">
        <v>755</v>
      </c>
      <c r="T48" t="s">
        <v>747</v>
      </c>
    </row>
    <row r="49" spans="1:20" x14ac:dyDescent="0.2">
      <c r="B49" s="2" t="s">
        <v>742</v>
      </c>
      <c r="F49" s="2" t="s">
        <v>119</v>
      </c>
      <c r="N49" s="111">
        <v>12769.332176298485</v>
      </c>
      <c r="O49" s="106"/>
      <c r="R49"/>
    </row>
    <row r="50" spans="1:20" x14ac:dyDescent="0.2">
      <c r="B50" s="2" t="s">
        <v>728</v>
      </c>
      <c r="F50" s="2" t="s">
        <v>119</v>
      </c>
      <c r="N50" s="97">
        <f>+N48+N49</f>
        <v>74651.071060704649</v>
      </c>
      <c r="O50" s="166"/>
    </row>
    <row r="51" spans="1:20" x14ac:dyDescent="0.2">
      <c r="N51" s="125"/>
    </row>
    <row r="52" spans="1:20" x14ac:dyDescent="0.2">
      <c r="B52" s="1" t="s">
        <v>263</v>
      </c>
    </row>
    <row r="53" spans="1:20" x14ac:dyDescent="0.2">
      <c r="B53" s="2" t="s">
        <v>399</v>
      </c>
      <c r="F53" s="2" t="s">
        <v>119</v>
      </c>
      <c r="M53" s="22">
        <v>-943400.09425250744</v>
      </c>
      <c r="R53" s="2" t="s">
        <v>653</v>
      </c>
      <c r="T53" s="11"/>
    </row>
    <row r="54" spans="1:20" x14ac:dyDescent="0.2">
      <c r="R54"/>
    </row>
    <row r="55" spans="1:20" x14ac:dyDescent="0.2">
      <c r="B55" s="1" t="s">
        <v>654</v>
      </c>
    </row>
    <row r="56" spans="1:20" x14ac:dyDescent="0.2">
      <c r="B56" s="2" t="s">
        <v>655</v>
      </c>
      <c r="F56" s="2" t="s">
        <v>171</v>
      </c>
      <c r="N56" s="22">
        <v>2450617.3655342958</v>
      </c>
      <c r="R56" s="2" t="s">
        <v>659</v>
      </c>
    </row>
    <row r="57" spans="1:20" x14ac:dyDescent="0.2">
      <c r="A57" s="175"/>
      <c r="B57" s="2" t="s">
        <v>656</v>
      </c>
      <c r="F57" s="2" t="s">
        <v>97</v>
      </c>
      <c r="N57" s="126">
        <v>0.40700000000000003</v>
      </c>
      <c r="R57" s="2" t="s">
        <v>660</v>
      </c>
      <c r="T57" s="2" t="s">
        <v>748</v>
      </c>
    </row>
    <row r="58" spans="1:20" x14ac:dyDescent="0.2">
      <c r="B58" s="2" t="s">
        <v>657</v>
      </c>
      <c r="F58" s="2" t="s">
        <v>97</v>
      </c>
      <c r="N58" s="126">
        <v>0.35160000000000002</v>
      </c>
      <c r="R58" s="2" t="s">
        <v>676</v>
      </c>
    </row>
    <row r="59" spans="1:20" x14ac:dyDescent="0.2">
      <c r="B59" s="2" t="s">
        <v>264</v>
      </c>
      <c r="F59" s="2" t="s">
        <v>242</v>
      </c>
      <c r="N59" s="126">
        <v>3.75</v>
      </c>
      <c r="R59" s="2" t="s">
        <v>661</v>
      </c>
    </row>
    <row r="60" spans="1:20" x14ac:dyDescent="0.2">
      <c r="B60" s="2" t="s">
        <v>658</v>
      </c>
      <c r="F60" s="2" t="s">
        <v>142</v>
      </c>
      <c r="N60" s="92">
        <v>0.495932826376275</v>
      </c>
      <c r="R60" s="2" t="s">
        <v>675</v>
      </c>
    </row>
    <row r="62" spans="1:20" x14ac:dyDescent="0.2">
      <c r="R62"/>
    </row>
    <row r="63" spans="1:20" s="7" customFormat="1" x14ac:dyDescent="0.2">
      <c r="B63" s="7" t="s">
        <v>266</v>
      </c>
    </row>
    <row r="65" spans="2:20" x14ac:dyDescent="0.2">
      <c r="B65" s="1" t="s">
        <v>662</v>
      </c>
      <c r="L65" s="96"/>
      <c r="M65" s="96"/>
      <c r="N65" s="96"/>
      <c r="O65" s="96"/>
      <c r="P65" s="96"/>
    </row>
    <row r="66" spans="2:20" x14ac:dyDescent="0.2">
      <c r="B66" s="2" t="s">
        <v>621</v>
      </c>
      <c r="F66" s="2" t="s">
        <v>624</v>
      </c>
      <c r="L66" s="127">
        <v>0.41670000000000001</v>
      </c>
      <c r="N66" s="120"/>
      <c r="R66" s="2" t="s">
        <v>665</v>
      </c>
      <c r="T66" s="2" t="s">
        <v>669</v>
      </c>
    </row>
    <row r="67" spans="2:20" x14ac:dyDescent="0.2">
      <c r="B67" s="2" t="s">
        <v>622</v>
      </c>
      <c r="F67" s="2" t="s">
        <v>624</v>
      </c>
      <c r="L67" s="127">
        <v>0.16059999999999999</v>
      </c>
      <c r="R67" s="2" t="s">
        <v>666</v>
      </c>
      <c r="T67" s="2" t="s">
        <v>267</v>
      </c>
    </row>
    <row r="69" spans="2:20" x14ac:dyDescent="0.2">
      <c r="B69" s="1" t="s">
        <v>268</v>
      </c>
    </row>
    <row r="70" spans="2:20" x14ac:dyDescent="0.2">
      <c r="B70" s="2" t="s">
        <v>636</v>
      </c>
      <c r="F70" s="2" t="s">
        <v>624</v>
      </c>
      <c r="L70" s="127">
        <v>0.31585239684450966</v>
      </c>
      <c r="R70" s="2" t="s">
        <v>729</v>
      </c>
    </row>
    <row r="71" spans="2:20" x14ac:dyDescent="0.2">
      <c r="B71" s="2" t="s">
        <v>637</v>
      </c>
      <c r="F71" s="2" t="s">
        <v>624</v>
      </c>
      <c r="L71" s="127">
        <v>0.40829796288615466</v>
      </c>
      <c r="R71" s="2" t="s">
        <v>730</v>
      </c>
    </row>
    <row r="72" spans="2:20" x14ac:dyDescent="0.2">
      <c r="B72" s="128" t="s">
        <v>265</v>
      </c>
      <c r="F72" s="2" t="s">
        <v>142</v>
      </c>
      <c r="L72" s="92">
        <v>0.47523981031258511</v>
      </c>
      <c r="R72" s="2" t="s">
        <v>667</v>
      </c>
    </row>
    <row r="74" spans="2:20" x14ac:dyDescent="0.2">
      <c r="B74" s="17" t="s">
        <v>664</v>
      </c>
    </row>
    <row r="75" spans="2:20" x14ac:dyDescent="0.2">
      <c r="B75" s="2" t="s">
        <v>664</v>
      </c>
      <c r="F75" s="2" t="s">
        <v>269</v>
      </c>
      <c r="N75" s="127">
        <v>3.2469000000000001</v>
      </c>
      <c r="R75" s="2" t="s">
        <v>668</v>
      </c>
    </row>
    <row r="76" spans="2:20" x14ac:dyDescent="0.2">
      <c r="L76" s="96"/>
      <c r="M76" s="96"/>
      <c r="N76" s="96"/>
      <c r="O76" s="96"/>
      <c r="P76" s="96"/>
    </row>
    <row r="77" spans="2:20" x14ac:dyDescent="0.2">
      <c r="L77" s="96"/>
      <c r="M77" s="96"/>
      <c r="N77" s="96"/>
      <c r="O77" s="96"/>
      <c r="P77" s="96"/>
    </row>
    <row r="78" spans="2:20" x14ac:dyDescent="0.2">
      <c r="L78" s="96"/>
      <c r="M78" s="96"/>
      <c r="N78" s="96"/>
      <c r="O78" s="96"/>
      <c r="P78" s="96"/>
    </row>
    <row r="80" spans="2:20" x14ac:dyDescent="0.2">
      <c r="B80" s="3" t="s">
        <v>58</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D176-44E2-4A11-92EF-83C73562D484}">
  <sheetPr>
    <tabColor theme="0" tint="-4.9989318521683403E-2"/>
  </sheetPr>
  <dimension ref="B2:B3"/>
  <sheetViews>
    <sheetView showGridLines="0" zoomScale="85" zoomScaleNormal="85" workbookViewId="0">
      <selection activeCell="A4" sqref="A4"/>
    </sheetView>
  </sheetViews>
  <sheetFormatPr defaultRowHeight="12.75" x14ac:dyDescent="0.2"/>
  <cols>
    <col min="1" max="1" width="5.7109375" style="14" customWidth="1"/>
    <col min="2" max="16384" width="9.140625" style="14"/>
  </cols>
  <sheetData>
    <row r="2" spans="2:2" x14ac:dyDescent="0.2">
      <c r="B2" s="26" t="s">
        <v>62</v>
      </c>
    </row>
    <row r="3" spans="2:2" x14ac:dyDescent="0.2">
      <c r="B3" s="26" t="s">
        <v>63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C815-758C-44E9-84F3-C048A93DD285}">
  <sheetPr>
    <tabColor rgb="FFFFFFCC"/>
  </sheetPr>
  <dimension ref="A2:T64"/>
  <sheetViews>
    <sheetView showGridLines="0" zoomScale="85" zoomScaleNormal="85" workbookViewId="0">
      <pane xSplit="6" ySplit="15" topLeftCell="G16" activePane="bottomRight" state="frozen"/>
      <selection activeCell="A4" sqref="A4"/>
      <selection pane="topRight" activeCell="A4" sqref="A4"/>
      <selection pane="bottomLeft" activeCell="A4" sqref="A4"/>
      <selection pane="bottomRight"/>
    </sheetView>
  </sheetViews>
  <sheetFormatPr defaultRowHeight="12.75" x14ac:dyDescent="0.2"/>
  <cols>
    <col min="1" max="1" width="4.7109375" style="2" customWidth="1"/>
    <col min="2" max="2" width="68"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20" s="10" customFormat="1" ht="18" x14ac:dyDescent="0.2">
      <c r="B2" s="10" t="s">
        <v>613</v>
      </c>
    </row>
    <row r="4" spans="2:20" x14ac:dyDescent="0.2">
      <c r="B4" s="17" t="s">
        <v>44</v>
      </c>
      <c r="C4" s="1"/>
      <c r="D4" s="1"/>
    </row>
    <row r="5" spans="2:20" x14ac:dyDescent="0.2">
      <c r="B5" s="2" t="s">
        <v>270</v>
      </c>
      <c r="H5" s="11"/>
    </row>
    <row r="6" spans="2:20" x14ac:dyDescent="0.2">
      <c r="B6" s="2" t="s">
        <v>614</v>
      </c>
      <c r="H6" s="11"/>
    </row>
    <row r="7" spans="2:20" x14ac:dyDescent="0.2">
      <c r="B7" s="2" t="s">
        <v>271</v>
      </c>
      <c r="H7" s="11"/>
    </row>
    <row r="8" spans="2:20" x14ac:dyDescent="0.2">
      <c r="B8" s="2" t="s">
        <v>272</v>
      </c>
      <c r="H8" s="11"/>
    </row>
    <row r="9" spans="2:20" x14ac:dyDescent="0.2">
      <c r="H9" s="11"/>
    </row>
    <row r="10" spans="2:20" x14ac:dyDescent="0.2">
      <c r="B10" s="18" t="s">
        <v>22</v>
      </c>
      <c r="H10" s="11"/>
    </row>
    <row r="11" spans="2:20" x14ac:dyDescent="0.2">
      <c r="B11" s="3" t="s">
        <v>615</v>
      </c>
      <c r="H11" s="11"/>
    </row>
    <row r="12" spans="2:20" x14ac:dyDescent="0.2">
      <c r="H12" s="11"/>
    </row>
    <row r="14" spans="2:20" s="7" customFormat="1" ht="25.5" customHeight="1" x14ac:dyDescent="0.2">
      <c r="B14" s="7" t="s">
        <v>36</v>
      </c>
      <c r="F14" s="7" t="s">
        <v>19</v>
      </c>
      <c r="H14" s="7" t="s">
        <v>20</v>
      </c>
      <c r="J14" s="7" t="s">
        <v>40</v>
      </c>
      <c r="L14" s="95" t="s">
        <v>204</v>
      </c>
      <c r="M14" s="95" t="s">
        <v>205</v>
      </c>
      <c r="N14" s="95" t="s">
        <v>206</v>
      </c>
      <c r="O14" s="95" t="s">
        <v>207</v>
      </c>
      <c r="P14" s="95" t="s">
        <v>208</v>
      </c>
      <c r="T14" s="7" t="s">
        <v>38</v>
      </c>
    </row>
    <row r="17" spans="1:20" s="7" customFormat="1" x14ac:dyDescent="0.2">
      <c r="B17" s="7" t="s">
        <v>39</v>
      </c>
    </row>
    <row r="19" spans="1:20" x14ac:dyDescent="0.2">
      <c r="B19" s="1" t="s">
        <v>273</v>
      </c>
    </row>
    <row r="20" spans="1:20" x14ac:dyDescent="0.2">
      <c r="B20" s="2" t="s">
        <v>616</v>
      </c>
      <c r="F20" s="2" t="s">
        <v>149</v>
      </c>
      <c r="J20" s="97">
        <f>SUM(L20:P20)</f>
        <v>16691010.278512236</v>
      </c>
      <c r="L20" s="129">
        <f>'Input voor correcties'!L18</f>
        <v>137764.56729977566</v>
      </c>
      <c r="M20" s="129">
        <f>'Input voor correcties'!M18</f>
        <v>8670809.7298742607</v>
      </c>
      <c r="N20" s="129">
        <f>'Input voor correcties'!N18</f>
        <v>3479432.1876895493</v>
      </c>
      <c r="O20" s="129">
        <f>'Input voor correcties'!O18</f>
        <v>4292603.8925476559</v>
      </c>
      <c r="P20" s="129">
        <f>'Input voor correcties'!P18</f>
        <v>110399.90110099234</v>
      </c>
      <c r="T20" s="2" t="s">
        <v>625</v>
      </c>
    </row>
    <row r="22" spans="1:20" x14ac:dyDescent="0.2">
      <c r="B22" s="1" t="s">
        <v>274</v>
      </c>
    </row>
    <row r="23" spans="1:20" x14ac:dyDescent="0.2">
      <c r="B23" s="2" t="s">
        <v>233</v>
      </c>
      <c r="F23" s="2" t="s">
        <v>234</v>
      </c>
      <c r="L23" s="13" t="s">
        <v>153</v>
      </c>
      <c r="M23" s="13" t="s">
        <v>155</v>
      </c>
      <c r="N23" s="13" t="s">
        <v>171</v>
      </c>
      <c r="O23" s="13" t="s">
        <v>175</v>
      </c>
      <c r="P23" s="13" t="s">
        <v>171</v>
      </c>
    </row>
    <row r="24" spans="1:20" x14ac:dyDescent="0.2">
      <c r="A24" s="175"/>
      <c r="B24" s="2" t="s">
        <v>617</v>
      </c>
      <c r="F24" s="2" t="s">
        <v>225</v>
      </c>
      <c r="L24" s="129">
        <f>'Input voor correcties'!L23</f>
        <v>330614</v>
      </c>
      <c r="M24" s="129">
        <f>'Input voor correcties'!M23</f>
        <v>101701.37000000002</v>
      </c>
      <c r="N24" s="21">
        <f>'Input voor correcties'!N23</f>
        <v>2147000</v>
      </c>
      <c r="O24" s="129">
        <f>'Input voor correcties'!O23</f>
        <v>3003.8125</v>
      </c>
      <c r="P24" s="129">
        <f>'Input voor correcties'!P23</f>
        <v>13113</v>
      </c>
    </row>
    <row r="26" spans="1:20" x14ac:dyDescent="0.2">
      <c r="B26" s="1" t="s">
        <v>275</v>
      </c>
    </row>
    <row r="27" spans="1:20" x14ac:dyDescent="0.2">
      <c r="B27" s="2" t="s">
        <v>618</v>
      </c>
      <c r="F27" s="2" t="s">
        <v>225</v>
      </c>
      <c r="L27" s="129">
        <f>'Gegevens volumes 2022'!L66</f>
        <v>231464</v>
      </c>
      <c r="M27" s="129">
        <f>'Gegevens volumes 2022'!M66</f>
        <v>105911.59051751401</v>
      </c>
      <c r="N27" s="129">
        <f>'Gegevens volumes 2022'!N66</f>
        <v>2301173.0000000005</v>
      </c>
      <c r="O27" s="129">
        <f>'Gegevens volumes 2022'!O66</f>
        <v>3088.0948004952606</v>
      </c>
      <c r="P27" s="129">
        <f>'Gegevens volumes 2022'!P66</f>
        <v>15813.5</v>
      </c>
    </row>
    <row r="29" spans="1:20" x14ac:dyDescent="0.2">
      <c r="B29" s="1" t="s">
        <v>276</v>
      </c>
    </row>
    <row r="30" spans="1:20" x14ac:dyDescent="0.2">
      <c r="B30" s="2" t="s">
        <v>619</v>
      </c>
      <c r="F30" s="2" t="s">
        <v>153</v>
      </c>
      <c r="L30" s="129">
        <f>'Input voor correcties'!L24</f>
        <v>132430639</v>
      </c>
    </row>
    <row r="31" spans="1:20" x14ac:dyDescent="0.2">
      <c r="B31" s="2" t="s">
        <v>620</v>
      </c>
      <c r="F31" s="2" t="s">
        <v>153</v>
      </c>
      <c r="L31" s="25">
        <f>L30-L24</f>
        <v>132100025</v>
      </c>
    </row>
    <row r="32" spans="1:20" x14ac:dyDescent="0.2">
      <c r="B32" s="2" t="s">
        <v>621</v>
      </c>
      <c r="F32" s="2" t="s">
        <v>624</v>
      </c>
      <c r="L32" s="130">
        <f>'Input voor correcties'!L66</f>
        <v>0.41670000000000001</v>
      </c>
    </row>
    <row r="33" spans="2:20" x14ac:dyDescent="0.2">
      <c r="B33" s="2" t="s">
        <v>622</v>
      </c>
      <c r="F33" s="2" t="s">
        <v>624</v>
      </c>
      <c r="L33" s="130">
        <f>'Input voor correcties'!L67</f>
        <v>0.16059999999999999</v>
      </c>
    </row>
    <row r="34" spans="2:20" x14ac:dyDescent="0.2">
      <c r="B34" s="2" t="s">
        <v>623</v>
      </c>
      <c r="F34" s="2" t="s">
        <v>153</v>
      </c>
      <c r="L34" s="129">
        <f>'Gegevens volumes 2022'!L15</f>
        <v>136826479</v>
      </c>
    </row>
    <row r="36" spans="2:20" s="7" customFormat="1" x14ac:dyDescent="0.2">
      <c r="B36" s="7" t="s">
        <v>277</v>
      </c>
    </row>
    <row r="38" spans="2:20" x14ac:dyDescent="0.2">
      <c r="B38" s="17" t="s">
        <v>626</v>
      </c>
    </row>
    <row r="39" spans="2:20" x14ac:dyDescent="0.2">
      <c r="B39" s="2" t="s">
        <v>278</v>
      </c>
      <c r="F39" s="2" t="s">
        <v>149</v>
      </c>
      <c r="J39" s="97">
        <f>SUM(L39:P39)</f>
        <v>17401680.908777684</v>
      </c>
      <c r="L39" s="97">
        <f>(L20/L24)*L27</f>
        <v>96449.448013318484</v>
      </c>
      <c r="M39" s="97">
        <f>(M20/M24)*M27</f>
        <v>9029762.8199671134</v>
      </c>
      <c r="N39" s="97">
        <f>(N20/N24)*N27</f>
        <v>3729285.2378398343</v>
      </c>
      <c r="O39" s="97">
        <f>(O20/O24)*O27</f>
        <v>4413047.6723038247</v>
      </c>
      <c r="P39" s="97">
        <f>(P20/P24)*P27</f>
        <v>133135.73065359128</v>
      </c>
    </row>
    <row r="40" spans="2:20" x14ac:dyDescent="0.2">
      <c r="B40" s="2" t="s">
        <v>627</v>
      </c>
      <c r="F40" s="2" t="s">
        <v>149</v>
      </c>
      <c r="J40" s="97">
        <f>SUM(L40:P40)</f>
        <v>710670.63026544824</v>
      </c>
      <c r="L40" s="97">
        <f>L39-L20</f>
        <v>-41315.119286457179</v>
      </c>
      <c r="M40" s="97">
        <f>M39-M20</f>
        <v>358953.09009285271</v>
      </c>
      <c r="N40" s="97">
        <f>N39-N20</f>
        <v>249853.05015028501</v>
      </c>
      <c r="O40" s="97">
        <f>O39-O20</f>
        <v>120443.77975616883</v>
      </c>
      <c r="P40" s="97">
        <f>P39-P20</f>
        <v>22735.829552598938</v>
      </c>
      <c r="T40" s="2" t="s">
        <v>279</v>
      </c>
    </row>
    <row r="41" spans="2:20" x14ac:dyDescent="0.2">
      <c r="L41" s="96"/>
      <c r="M41" s="96"/>
      <c r="N41" s="96"/>
      <c r="O41" s="96"/>
      <c r="P41" s="96"/>
    </row>
    <row r="42" spans="2:20" x14ac:dyDescent="0.2">
      <c r="B42" s="2" t="s">
        <v>280</v>
      </c>
      <c r="F42" s="2" t="s">
        <v>149</v>
      </c>
      <c r="J42" s="97">
        <f>SUM(L42:P42)</f>
        <v>215800.14686511765</v>
      </c>
      <c r="L42" s="27"/>
      <c r="M42" s="129">
        <f>'Input voor correcties'!M34</f>
        <v>92825.801731927146</v>
      </c>
      <c r="N42" s="124"/>
      <c r="O42" s="129">
        <f>'Input voor correcties'!O34</f>
        <v>91764.6666331905</v>
      </c>
      <c r="P42" s="129">
        <f>'Input voor correcties'!P34</f>
        <v>31209.678500000002</v>
      </c>
      <c r="T42" s="2" t="s">
        <v>281</v>
      </c>
    </row>
    <row r="43" spans="2:20" x14ac:dyDescent="0.2">
      <c r="T43" s="30"/>
    </row>
    <row r="44" spans="2:20" x14ac:dyDescent="0.2">
      <c r="B44" s="2" t="s">
        <v>628</v>
      </c>
      <c r="F44" s="2" t="s">
        <v>149</v>
      </c>
      <c r="J44" s="97">
        <f>SUM(L44:P44)</f>
        <v>-494870.48340033065</v>
      </c>
      <c r="L44" s="131">
        <f>-1*L40+L42</f>
        <v>41315.119286457179</v>
      </c>
      <c r="M44" s="131">
        <f>-1*M40+M42</f>
        <v>-266127.28836092557</v>
      </c>
      <c r="N44" s="131">
        <f>-1*N40+N42</f>
        <v>-249853.05015028501</v>
      </c>
      <c r="O44" s="131">
        <f>-1*O40+O42</f>
        <v>-28679.113122978335</v>
      </c>
      <c r="P44" s="131">
        <f>-1*P40+P42</f>
        <v>8473.8489474010639</v>
      </c>
      <c r="T44" s="11"/>
    </row>
    <row r="45" spans="2:20" x14ac:dyDescent="0.2">
      <c r="L45" s="96"/>
      <c r="M45" s="96"/>
      <c r="N45" s="96"/>
      <c r="O45" s="96"/>
      <c r="P45" s="96"/>
      <c r="T45" s="16"/>
    </row>
    <row r="46" spans="2:20" x14ac:dyDescent="0.2">
      <c r="M46" s="132"/>
    </row>
    <row r="47" spans="2:20" s="7" customFormat="1" x14ac:dyDescent="0.2">
      <c r="B47" s="7" t="s">
        <v>629</v>
      </c>
    </row>
    <row r="49" spans="2:20" x14ac:dyDescent="0.2">
      <c r="B49" s="1" t="s">
        <v>282</v>
      </c>
      <c r="T49" s="16"/>
    </row>
    <row r="50" spans="2:20" x14ac:dyDescent="0.2">
      <c r="B50" s="2" t="s">
        <v>283</v>
      </c>
      <c r="F50" s="2" t="s">
        <v>149</v>
      </c>
      <c r="M50" s="97">
        <f>L24*L32+L31*L33</f>
        <v>21353030.868799999</v>
      </c>
    </row>
    <row r="51" spans="2:20" x14ac:dyDescent="0.2">
      <c r="B51" s="2" t="s">
        <v>284</v>
      </c>
      <c r="F51" s="2" t="s">
        <v>153</v>
      </c>
      <c r="M51" s="24">
        <f>L30</f>
        <v>132430639</v>
      </c>
    </row>
    <row r="52" spans="2:20" x14ac:dyDescent="0.2">
      <c r="B52" s="2" t="s">
        <v>285</v>
      </c>
      <c r="F52" s="2" t="s">
        <v>624</v>
      </c>
      <c r="M52" s="133">
        <f>M50/M51</f>
        <v>0.16123935540928711</v>
      </c>
    </row>
    <row r="53" spans="2:20" x14ac:dyDescent="0.2">
      <c r="B53" s="1"/>
    </row>
    <row r="54" spans="2:20" x14ac:dyDescent="0.2">
      <c r="B54" s="2" t="s">
        <v>286</v>
      </c>
      <c r="F54" s="2" t="s">
        <v>149</v>
      </c>
      <c r="M54" s="97">
        <f>L27*L32+L34*L33</f>
        <v>22070783.576199997</v>
      </c>
    </row>
    <row r="55" spans="2:20" x14ac:dyDescent="0.2">
      <c r="B55" s="2" t="s">
        <v>630</v>
      </c>
      <c r="F55" s="2" t="s">
        <v>153</v>
      </c>
      <c r="M55" s="97">
        <f>L27+L34</f>
        <v>137057943</v>
      </c>
    </row>
    <row r="56" spans="2:20" x14ac:dyDescent="0.2">
      <c r="B56" s="2" t="s">
        <v>287</v>
      </c>
      <c r="F56" s="2" t="s">
        <v>624</v>
      </c>
      <c r="M56" s="133">
        <f>M54/M55</f>
        <v>0.16103250269997119</v>
      </c>
      <c r="N56" s="134"/>
    </row>
    <row r="58" spans="2:20" x14ac:dyDescent="0.2">
      <c r="B58" s="2" t="s">
        <v>288</v>
      </c>
      <c r="F58" s="2" t="s">
        <v>149</v>
      </c>
      <c r="M58" s="131">
        <f>(M56-M52)*M55</f>
        <v>-28350.806842816786</v>
      </c>
      <c r="T58" s="2" t="s">
        <v>631</v>
      </c>
    </row>
    <row r="64" spans="2:20" x14ac:dyDescent="0.2">
      <c r="B64" s="3" t="s">
        <v>58</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456E-6CE7-4CB7-8BB2-F6414CF4C887}">
  <sheetPr>
    <tabColor rgb="FFFFFFCC"/>
  </sheetPr>
  <dimension ref="A2:V72"/>
  <sheetViews>
    <sheetView showGridLines="0" zoomScale="85" zoomScaleNormal="85" workbookViewId="0">
      <pane xSplit="6" ySplit="9" topLeftCell="G19" activePane="bottomRight" state="frozen"/>
      <selection activeCell="A4" sqref="A4"/>
      <selection pane="topRight" activeCell="A4" sqref="A4"/>
      <selection pane="bottomLeft" activeCell="A4" sqref="A4"/>
      <selection pane="bottomRight" activeCell="N54" sqref="N54"/>
    </sheetView>
  </sheetViews>
  <sheetFormatPr defaultRowHeight="12.75" x14ac:dyDescent="0.2"/>
  <cols>
    <col min="1" max="1" width="4.7109375" style="2" customWidth="1"/>
    <col min="2" max="2" width="68"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20" s="10" customFormat="1" ht="18" x14ac:dyDescent="0.2">
      <c r="B2" s="10" t="s">
        <v>632</v>
      </c>
    </row>
    <row r="4" spans="2:20" x14ac:dyDescent="0.2">
      <c r="B4" s="17" t="s">
        <v>44</v>
      </c>
      <c r="C4" s="1"/>
      <c r="D4" s="1"/>
    </row>
    <row r="5" spans="2:20" x14ac:dyDescent="0.2">
      <c r="B5" s="2" t="s">
        <v>633</v>
      </c>
      <c r="H5" s="11"/>
    </row>
    <row r="6" spans="2:20" x14ac:dyDescent="0.2">
      <c r="H6" s="11"/>
    </row>
    <row r="8" spans="2:20" s="7" customFormat="1" ht="25.5" customHeight="1" x14ac:dyDescent="0.2">
      <c r="B8" s="7" t="s">
        <v>36</v>
      </c>
      <c r="F8" s="7" t="s">
        <v>19</v>
      </c>
      <c r="H8" s="7" t="s">
        <v>20</v>
      </c>
      <c r="J8" s="7" t="s">
        <v>40</v>
      </c>
      <c r="L8" s="95" t="s">
        <v>204</v>
      </c>
      <c r="M8" s="95" t="s">
        <v>205</v>
      </c>
      <c r="N8" s="95" t="s">
        <v>206</v>
      </c>
      <c r="O8" s="95" t="s">
        <v>207</v>
      </c>
      <c r="P8" s="95" t="s">
        <v>208</v>
      </c>
      <c r="T8" s="7" t="s">
        <v>38</v>
      </c>
    </row>
    <row r="11" spans="2:20" s="7" customFormat="1" x14ac:dyDescent="0.2">
      <c r="B11" s="7" t="s">
        <v>39</v>
      </c>
    </row>
    <row r="13" spans="2:20" x14ac:dyDescent="0.2">
      <c r="B13" s="17" t="s">
        <v>141</v>
      </c>
    </row>
    <row r="14" spans="2:20" x14ac:dyDescent="0.2">
      <c r="B14" s="2" t="s">
        <v>289</v>
      </c>
      <c r="F14" s="2" t="s">
        <v>142</v>
      </c>
      <c r="H14" s="118">
        <f>Parameters!H51</f>
        <v>0.5</v>
      </c>
    </row>
    <row r="15" spans="2:20" x14ac:dyDescent="0.2">
      <c r="B15" s="2" t="s">
        <v>634</v>
      </c>
      <c r="F15" s="2" t="s">
        <v>142</v>
      </c>
      <c r="H15" s="118">
        <f>Parameters!H43</f>
        <v>5.9700000000000003E-2</v>
      </c>
    </row>
    <row r="17" spans="1:22" x14ac:dyDescent="0.2">
      <c r="B17" s="1" t="s">
        <v>635</v>
      </c>
    </row>
    <row r="18" spans="1:22" x14ac:dyDescent="0.2">
      <c r="B18" s="2" t="s">
        <v>636</v>
      </c>
      <c r="F18" s="2" t="s">
        <v>624</v>
      </c>
      <c r="L18" s="130">
        <f>'Input voor correcties'!L70</f>
        <v>0.31585239684450966</v>
      </c>
      <c r="T18" s="16"/>
      <c r="V18" s="16"/>
    </row>
    <row r="19" spans="1:22" x14ac:dyDescent="0.2">
      <c r="B19" s="2" t="s">
        <v>637</v>
      </c>
      <c r="F19" s="2" t="s">
        <v>624</v>
      </c>
      <c r="L19" s="130">
        <f>'Input voor correcties'!L71</f>
        <v>0.40829796288615466</v>
      </c>
      <c r="T19" s="16"/>
    </row>
    <row r="20" spans="1:22" x14ac:dyDescent="0.2">
      <c r="B20" s="128" t="s">
        <v>265</v>
      </c>
      <c r="F20" s="2" t="s">
        <v>142</v>
      </c>
      <c r="L20" s="118">
        <f>'Input voor correcties'!L72</f>
        <v>0.47523981031258511</v>
      </c>
      <c r="T20" s="16"/>
    </row>
    <row r="21" spans="1:22" x14ac:dyDescent="0.2">
      <c r="B21" s="2" t="s">
        <v>638</v>
      </c>
      <c r="F21" s="2" t="s">
        <v>624</v>
      </c>
      <c r="L21" s="133">
        <f>L20*L18+(1-L20)*L19</f>
        <v>0.36436414961628372</v>
      </c>
      <c r="T21" s="104"/>
    </row>
    <row r="22" spans="1:22" x14ac:dyDescent="0.2">
      <c r="A22" s="175"/>
      <c r="B22" s="2" t="s">
        <v>639</v>
      </c>
      <c r="F22" s="2" t="s">
        <v>682</v>
      </c>
      <c r="N22" s="130">
        <f>'Input voor correcties'!N75</f>
        <v>3.2469000000000001</v>
      </c>
    </row>
    <row r="24" spans="1:22" x14ac:dyDescent="0.2">
      <c r="B24" s="17" t="s">
        <v>525</v>
      </c>
    </row>
    <row r="25" spans="1:22" x14ac:dyDescent="0.2">
      <c r="B25" s="2" t="s">
        <v>233</v>
      </c>
      <c r="F25" s="2" t="s">
        <v>234</v>
      </c>
      <c r="L25" s="13" t="s">
        <v>153</v>
      </c>
      <c r="M25" s="13" t="s">
        <v>155</v>
      </c>
      <c r="N25" s="13" t="s">
        <v>171</v>
      </c>
      <c r="O25" s="13" t="s">
        <v>175</v>
      </c>
      <c r="P25" s="13" t="s">
        <v>171</v>
      </c>
    </row>
    <row r="26" spans="1:22" x14ac:dyDescent="0.2">
      <c r="B26" s="2" t="s">
        <v>290</v>
      </c>
      <c r="F26" s="2" t="s">
        <v>234</v>
      </c>
      <c r="L26" s="129">
        <f>'Gegevens volumes 2022'!L66</f>
        <v>231464</v>
      </c>
      <c r="M26" s="129">
        <f>'Gegevens volumes 2022'!M66</f>
        <v>105911.59051751401</v>
      </c>
      <c r="N26" s="129">
        <f>'Gegevens volumes 2022'!N66</f>
        <v>2301173.0000000005</v>
      </c>
      <c r="O26" s="129">
        <f>'Gegevens volumes 2022'!O66</f>
        <v>3088.0948004952606</v>
      </c>
      <c r="P26" s="129">
        <f>'Gegevens volumes 2022'!P66</f>
        <v>15813.5</v>
      </c>
    </row>
    <row r="27" spans="1:22" x14ac:dyDescent="0.2">
      <c r="B27" s="2" t="s">
        <v>236</v>
      </c>
      <c r="F27" s="2" t="s">
        <v>153</v>
      </c>
      <c r="L27" s="129">
        <f>'Gegevens volumes 2022'!L67</f>
        <v>137057943</v>
      </c>
    </row>
    <row r="29" spans="1:22" x14ac:dyDescent="0.2">
      <c r="B29" s="17" t="s">
        <v>291</v>
      </c>
    </row>
    <row r="30" spans="1:22" x14ac:dyDescent="0.2">
      <c r="B30" s="2" t="s">
        <v>640</v>
      </c>
      <c r="F30" s="2" t="s">
        <v>142</v>
      </c>
      <c r="M30" s="118">
        <f>'Input voor correcties'!M26</f>
        <v>9.8900000000000002E-2</v>
      </c>
      <c r="O30" s="118">
        <f>'Input voor correcties'!O26</f>
        <v>0.13400000000000001</v>
      </c>
    </row>
    <row r="31" spans="1:22" x14ac:dyDescent="0.2">
      <c r="B31" s="2" t="s">
        <v>641</v>
      </c>
      <c r="F31" s="2" t="s">
        <v>142</v>
      </c>
      <c r="M31" s="118">
        <f>'Gegevens volumes 2022'!M44</f>
        <v>8.9168918694288099E-2</v>
      </c>
      <c r="O31" s="118">
        <f>'Gegevens volumes 2022'!O59</f>
        <v>0.12259312967777755</v>
      </c>
    </row>
    <row r="33" spans="1:20" x14ac:dyDescent="0.2">
      <c r="B33" s="1" t="s">
        <v>292</v>
      </c>
    </row>
    <row r="34" spans="1:20" x14ac:dyDescent="0.2">
      <c r="B34" s="2" t="s">
        <v>210</v>
      </c>
      <c r="F34" s="2" t="s">
        <v>214</v>
      </c>
      <c r="N34" s="129">
        <f>'Gegevens kosten 2022'!N24</f>
        <v>13513891.557951398</v>
      </c>
    </row>
    <row r="35" spans="1:20" x14ac:dyDescent="0.2">
      <c r="B35" s="2" t="s">
        <v>215</v>
      </c>
      <c r="F35" s="2" t="s">
        <v>214</v>
      </c>
      <c r="N35" s="129">
        <f>'Gegevens kosten 2022'!N21</f>
        <v>12597117.704368059</v>
      </c>
    </row>
    <row r="36" spans="1:20" x14ac:dyDescent="0.2">
      <c r="B36" s="2" t="s">
        <v>433</v>
      </c>
      <c r="F36" s="2" t="s">
        <v>214</v>
      </c>
      <c r="N36" s="129">
        <f>'Gegevens kosten 2022'!N22</f>
        <v>916773.85358333378</v>
      </c>
    </row>
    <row r="39" spans="1:20" s="7" customFormat="1" x14ac:dyDescent="0.2">
      <c r="B39" s="7" t="s">
        <v>683</v>
      </c>
    </row>
    <row r="41" spans="1:20" x14ac:dyDescent="0.2">
      <c r="B41" s="1" t="s">
        <v>684</v>
      </c>
      <c r="T41" s="16"/>
    </row>
    <row r="42" spans="1:20" x14ac:dyDescent="0.2">
      <c r="A42" s="175"/>
      <c r="B42" s="2" t="s">
        <v>685</v>
      </c>
      <c r="F42" s="2" t="s">
        <v>149</v>
      </c>
      <c r="J42" s="97">
        <f>SUM(L42:P42)</f>
        <v>16691010.278512236</v>
      </c>
      <c r="L42" s="129">
        <f>'Input voor correcties'!L18</f>
        <v>137764.56729977566</v>
      </c>
      <c r="M42" s="129">
        <f>'Input voor correcties'!M18</f>
        <v>8670809.7298742607</v>
      </c>
      <c r="N42" s="129">
        <f>'Input voor correcties'!N18</f>
        <v>3479432.1876895493</v>
      </c>
      <c r="O42" s="129">
        <f>'Input voor correcties'!O18</f>
        <v>4292603.8925476559</v>
      </c>
      <c r="P42" s="129">
        <f>'Input voor correcties'!P18</f>
        <v>110399.90110099234</v>
      </c>
    </row>
    <row r="43" spans="1:20" x14ac:dyDescent="0.2">
      <c r="B43" s="2" t="s">
        <v>686</v>
      </c>
      <c r="F43" s="2" t="s">
        <v>651</v>
      </c>
      <c r="L43" s="135">
        <f>'Input voor correcties'!L19</f>
        <v>0</v>
      </c>
      <c r="M43" s="135">
        <f>'Input voor correcties'!M19</f>
        <v>32.273786855984561</v>
      </c>
      <c r="N43" s="135">
        <f>'Input voor correcties'!N19</f>
        <v>0.29748184522487497</v>
      </c>
      <c r="O43" s="135">
        <f>'Input voor correcties'!O19</f>
        <v>572.30840075640242</v>
      </c>
      <c r="P43" s="135">
        <f>'Input voor correcties'!P19</f>
        <v>3.1131589490659941</v>
      </c>
    </row>
    <row r="44" spans="1:20" x14ac:dyDescent="0.2">
      <c r="B44" s="2" t="s">
        <v>687</v>
      </c>
      <c r="F44" s="2" t="s">
        <v>149</v>
      </c>
      <c r="J44" s="97">
        <f>SUM(L44:P44)</f>
        <v>22610308.102371119</v>
      </c>
      <c r="L44" s="97">
        <f>L42+L43*L26</f>
        <v>137764.56729977566</v>
      </c>
      <c r="M44" s="97">
        <f>M42+M43*M26</f>
        <v>12088977.827814823</v>
      </c>
      <c r="N44" s="97">
        <f>N42+N43*N26</f>
        <v>4163989.3779112105</v>
      </c>
      <c r="O44" s="97">
        <f>O42+O43*O26</f>
        <v>6059946.4892032603</v>
      </c>
      <c r="P44" s="97">
        <f>P42+P43*P26</f>
        <v>159629.84014204744</v>
      </c>
      <c r="T44" s="2" t="s">
        <v>293</v>
      </c>
    </row>
    <row r="47" spans="1:20" s="7" customFormat="1" x14ac:dyDescent="0.2">
      <c r="B47" s="7" t="s">
        <v>688</v>
      </c>
    </row>
    <row r="49" spans="2:20" x14ac:dyDescent="0.2">
      <c r="B49" s="1" t="s">
        <v>689</v>
      </c>
      <c r="T49" s="16"/>
    </row>
    <row r="50" spans="2:20" x14ac:dyDescent="0.2">
      <c r="B50" s="2" t="s">
        <v>215</v>
      </c>
      <c r="F50" s="2" t="s">
        <v>149</v>
      </c>
      <c r="J50" s="97">
        <f>SUM(L50:P50)</f>
        <v>57697076.181361765</v>
      </c>
      <c r="L50" s="129">
        <f>'Gegevens kosten 2022'!L17</f>
        <v>364453.89301103319</v>
      </c>
      <c r="M50" s="129">
        <f>'Gegevens kosten 2022'!M17</f>
        <v>38075465.111224987</v>
      </c>
      <c r="N50" s="129">
        <f>'Gegevens kosten 2022'!N17</f>
        <v>2735273.1734040701</v>
      </c>
      <c r="O50" s="129">
        <f>'Gegevens kosten 2022'!O17</f>
        <v>16505572.410101922</v>
      </c>
      <c r="P50" s="129">
        <f>'Gegevens kosten 2022'!P17</f>
        <v>16311.593619753781</v>
      </c>
    </row>
    <row r="51" spans="2:20" x14ac:dyDescent="0.2">
      <c r="B51" s="2" t="s">
        <v>433</v>
      </c>
      <c r="F51" s="2" t="s">
        <v>149</v>
      </c>
      <c r="J51" s="97">
        <f>SUM(L51:P51)</f>
        <v>5473819.4055978525</v>
      </c>
      <c r="L51" s="129">
        <f>'Gegevens kosten 2022'!L18</f>
        <v>59348.898891860561</v>
      </c>
      <c r="M51" s="129">
        <f>'Gegevens kosten 2022'!M18</f>
        <v>2951807.1632914026</v>
      </c>
      <c r="N51" s="129">
        <f>'Gegevens kosten 2022'!N18</f>
        <v>281494.54088774108</v>
      </c>
      <c r="O51" s="129">
        <f>'Gegevens kosten 2022'!O18</f>
        <v>2122614.2905211276</v>
      </c>
      <c r="P51" s="129">
        <f>'Gegevens kosten 2022'!P18</f>
        <v>58554.512005719866</v>
      </c>
    </row>
    <row r="52" spans="2:20" x14ac:dyDescent="0.2">
      <c r="B52" s="2" t="s">
        <v>690</v>
      </c>
      <c r="F52" s="2" t="s">
        <v>149</v>
      </c>
      <c r="J52" s="97">
        <f>SUM(L52:P52)</f>
        <v>15299438.415400999</v>
      </c>
      <c r="L52" s="129">
        <f>'Gegevens kosten 2022'!L34</f>
        <v>75643.334961504763</v>
      </c>
      <c r="M52" s="129">
        <f>'Gegevens kosten 2022'!M34</f>
        <v>9460213.8645966854</v>
      </c>
      <c r="N52" s="129">
        <f>'Gegevens kosten 2022'!N34</f>
        <v>2310657.1750644064</v>
      </c>
      <c r="O52" s="129">
        <f>'Gegevens kosten 2022'!O34</f>
        <v>3333954.4488974279</v>
      </c>
      <c r="P52" s="129">
        <f>'Gegevens kosten 2022'!P34</f>
        <v>118969.59188097197</v>
      </c>
    </row>
    <row r="53" spans="2:20" x14ac:dyDescent="0.2">
      <c r="B53" s="2" t="s">
        <v>691</v>
      </c>
      <c r="F53" s="2" t="s">
        <v>149</v>
      </c>
      <c r="L53" s="27"/>
      <c r="M53" s="27"/>
      <c r="N53" s="129">
        <f>'Input voor correcties'!N39</f>
        <v>187258.39999999997</v>
      </c>
      <c r="O53" s="27"/>
      <c r="P53" s="27"/>
    </row>
    <row r="54" spans="2:20" x14ac:dyDescent="0.2">
      <c r="B54" s="2" t="s">
        <v>692</v>
      </c>
      <c r="F54" s="2" t="s">
        <v>149</v>
      </c>
      <c r="L54" s="27"/>
      <c r="M54" s="27"/>
      <c r="N54" s="21">
        <f>AVERAGE(N34,N35)*$H$15+N36</f>
        <v>1696187.4800635697</v>
      </c>
      <c r="O54" s="27"/>
      <c r="P54" s="27"/>
      <c r="T54" s="2" t="s">
        <v>734</v>
      </c>
    </row>
    <row r="55" spans="2:20" x14ac:dyDescent="0.2">
      <c r="B55" s="2" t="s">
        <v>693</v>
      </c>
      <c r="F55" s="2" t="s">
        <v>149</v>
      </c>
      <c r="J55" s="97">
        <f>SUM(L55:P55)</f>
        <v>26101219.149089713</v>
      </c>
      <c r="L55" s="97">
        <f>L50*$H$15+SUM(L51:L54)</f>
        <v>156750.13126612399</v>
      </c>
      <c r="M55" s="97">
        <f>M50*$H$15+SUM(M51:M54)</f>
        <v>14685126.295028219</v>
      </c>
      <c r="N55" s="97">
        <f>N50*$H$15+SUM(N51:N54)</f>
        <v>4638893.4044679403</v>
      </c>
      <c r="O55" s="97">
        <f>O50*$H$15+SUM(O51:O54)</f>
        <v>6441951.41230164</v>
      </c>
      <c r="P55" s="97">
        <f>P50*$H$15+SUM(P51:P54)</f>
        <v>178497.90602579116</v>
      </c>
      <c r="T55" s="2" t="s">
        <v>294</v>
      </c>
    </row>
    <row r="58" spans="2:20" s="7" customFormat="1" x14ac:dyDescent="0.2">
      <c r="B58" s="7" t="s">
        <v>295</v>
      </c>
    </row>
    <row r="60" spans="2:20" x14ac:dyDescent="0.2">
      <c r="B60" s="1" t="s">
        <v>694</v>
      </c>
      <c r="T60" s="16"/>
    </row>
    <row r="61" spans="2:20" x14ac:dyDescent="0.2">
      <c r="B61" s="2" t="s">
        <v>296</v>
      </c>
      <c r="F61" s="2" t="s">
        <v>149</v>
      </c>
      <c r="J61" s="97">
        <f>SUM(L61:P61)</f>
        <v>-3490911.0467185974</v>
      </c>
      <c r="L61" s="97">
        <f>L44-L55</f>
        <v>-18985.563966348331</v>
      </c>
      <c r="M61" s="97">
        <f>M44-M55</f>
        <v>-2596148.467213396</v>
      </c>
      <c r="N61" s="97">
        <f>N44-N55</f>
        <v>-474904.0265567298</v>
      </c>
      <c r="O61" s="97">
        <f>O44-O55</f>
        <v>-382004.92309837975</v>
      </c>
      <c r="P61" s="97">
        <f>P44-P55</f>
        <v>-18868.065883743722</v>
      </c>
    </row>
    <row r="62" spans="2:20" x14ac:dyDescent="0.2">
      <c r="B62" s="2" t="s">
        <v>695</v>
      </c>
      <c r="F62" s="2" t="s">
        <v>149</v>
      </c>
      <c r="J62" s="97">
        <f>SUM(L62:P62)</f>
        <v>1745455.5233592987</v>
      </c>
      <c r="L62" s="131">
        <f>-$H$14*L61</f>
        <v>9492.7819831741654</v>
      </c>
      <c r="M62" s="131">
        <f t="shared" ref="M62:P62" si="0">-$H$14*M61</f>
        <v>1298074.233606698</v>
      </c>
      <c r="N62" s="131">
        <f t="shared" si="0"/>
        <v>237452.0132783649</v>
      </c>
      <c r="O62" s="131">
        <f t="shared" si="0"/>
        <v>191002.46154918987</v>
      </c>
      <c r="P62" s="131">
        <f t="shared" si="0"/>
        <v>9434.0329418718611</v>
      </c>
      <c r="T62" s="2" t="s">
        <v>698</v>
      </c>
    </row>
    <row r="63" spans="2:20" x14ac:dyDescent="0.2">
      <c r="L63" s="96"/>
      <c r="M63" s="96"/>
      <c r="N63" s="96"/>
      <c r="O63" s="96"/>
      <c r="P63" s="96"/>
    </row>
    <row r="64" spans="2:20" x14ac:dyDescent="0.2">
      <c r="B64" s="1" t="s">
        <v>696</v>
      </c>
    </row>
    <row r="65" spans="2:20" x14ac:dyDescent="0.2">
      <c r="B65" s="2" t="s">
        <v>296</v>
      </c>
      <c r="F65" s="2" t="s">
        <v>149</v>
      </c>
      <c r="J65" s="97">
        <f>SUM(L65:P65)</f>
        <v>571188.94662685972</v>
      </c>
      <c r="L65" s="27"/>
      <c r="M65" s="97">
        <f>(M30-M31)*L21*L27</f>
        <v>485960.47759106092</v>
      </c>
      <c r="N65" s="124"/>
      <c r="O65" s="97">
        <f>(O30-O31)*N22*N26</f>
        <v>85228.469035798786</v>
      </c>
      <c r="P65" s="27"/>
    </row>
    <row r="66" spans="2:20" x14ac:dyDescent="0.2">
      <c r="B66" s="2" t="s">
        <v>697</v>
      </c>
      <c r="F66" s="2" t="s">
        <v>149</v>
      </c>
      <c r="J66" s="97">
        <f>SUM(L66:P66)</f>
        <v>-285594.47331342986</v>
      </c>
      <c r="L66" s="27"/>
      <c r="M66" s="131">
        <f>-$H$14*M65</f>
        <v>-242980.23879553046</v>
      </c>
      <c r="N66" s="27"/>
      <c r="O66" s="131">
        <f>-$H$14*O65</f>
        <v>-42614.234517899393</v>
      </c>
      <c r="P66" s="27"/>
      <c r="T66" s="2" t="s">
        <v>699</v>
      </c>
    </row>
    <row r="72" spans="2:20" x14ac:dyDescent="0.2">
      <c r="B72" s="3" t="s">
        <v>58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E428-0E8C-4400-8713-CE004801F2C0}">
  <sheetPr>
    <tabColor rgb="FFFFFFCC"/>
  </sheetPr>
  <dimension ref="B2:R89"/>
  <sheetViews>
    <sheetView showGridLines="0" zoomScale="85" zoomScaleNormal="85" workbookViewId="0">
      <pane xSplit="6" ySplit="12" topLeftCell="G28" activePane="bottomRight" state="frozen"/>
      <selection activeCell="A4" sqref="A4"/>
      <selection pane="topRight" activeCell="A4" sqref="A4"/>
      <selection pane="bottomLeft" activeCell="A4" sqref="A4"/>
      <selection pane="bottomRight" activeCell="B47" sqref="B47"/>
    </sheetView>
  </sheetViews>
  <sheetFormatPr defaultRowHeight="12.75" x14ac:dyDescent="0.2"/>
  <cols>
    <col min="1" max="1" width="4.7109375" style="2" customWidth="1"/>
    <col min="2" max="2" width="74.42578125" style="2" customWidth="1"/>
    <col min="3" max="3" width="4.7109375" style="2" customWidth="1"/>
    <col min="4" max="5" width="4.5703125" style="2" customWidth="1"/>
    <col min="6" max="6" width="18.855468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5.42578125" style="2" customWidth="1"/>
    <col min="17" max="17" width="2.7109375" style="2" customWidth="1"/>
    <col min="18" max="18" width="13.7109375" style="2" customWidth="1"/>
    <col min="19" max="19" width="2.7109375" style="2" customWidth="1"/>
    <col min="20" max="34" width="13.7109375" style="2" customWidth="1"/>
    <col min="35" max="16384" width="9.140625" style="2"/>
  </cols>
  <sheetData>
    <row r="2" spans="2:18" s="10" customFormat="1" ht="18" x14ac:dyDescent="0.2">
      <c r="B2" s="10" t="s">
        <v>700</v>
      </c>
    </row>
    <row r="4" spans="2:18" x14ac:dyDescent="0.2">
      <c r="B4" s="17" t="s">
        <v>21</v>
      </c>
      <c r="C4" s="1"/>
      <c r="D4" s="1"/>
      <c r="L4"/>
    </row>
    <row r="5" spans="2:18" x14ac:dyDescent="0.2">
      <c r="B5" s="2" t="s">
        <v>765</v>
      </c>
      <c r="H5" s="11"/>
    </row>
    <row r="6" spans="2:18" x14ac:dyDescent="0.2">
      <c r="B6" s="2" t="s">
        <v>701</v>
      </c>
      <c r="H6" s="11"/>
    </row>
    <row r="7" spans="2:18" x14ac:dyDescent="0.2">
      <c r="B7" s="136" t="s">
        <v>702</v>
      </c>
      <c r="H7" s="11"/>
    </row>
    <row r="8" spans="2:18" x14ac:dyDescent="0.2">
      <c r="B8" s="2" t="s">
        <v>297</v>
      </c>
    </row>
    <row r="9" spans="2:18" x14ac:dyDescent="0.2">
      <c r="B9" s="30"/>
    </row>
    <row r="11" spans="2:18" s="7" customFormat="1" ht="25.5" x14ac:dyDescent="0.2">
      <c r="B11" s="7" t="s">
        <v>36</v>
      </c>
      <c r="F11" s="7" t="s">
        <v>19</v>
      </c>
      <c r="H11" s="7" t="s">
        <v>20</v>
      </c>
      <c r="J11" s="7" t="s">
        <v>40</v>
      </c>
      <c r="L11" s="95" t="s">
        <v>204</v>
      </c>
      <c r="M11" s="95" t="s">
        <v>205</v>
      </c>
      <c r="N11" s="95" t="s">
        <v>206</v>
      </c>
      <c r="O11" s="95" t="s">
        <v>207</v>
      </c>
      <c r="P11" s="95" t="s">
        <v>208</v>
      </c>
      <c r="R11" s="7" t="s">
        <v>38</v>
      </c>
    </row>
    <row r="14" spans="2:18" s="7" customFormat="1" x14ac:dyDescent="0.2">
      <c r="B14" s="7" t="s">
        <v>298</v>
      </c>
    </row>
    <row r="16" spans="2:18" x14ac:dyDescent="0.2">
      <c r="B16" s="1" t="s">
        <v>299</v>
      </c>
    </row>
    <row r="17" spans="2:18" x14ac:dyDescent="0.2">
      <c r="B17" s="2" t="s">
        <v>703</v>
      </c>
      <c r="F17" s="2" t="s">
        <v>149</v>
      </c>
      <c r="J17" s="97">
        <f>SUM(L17:P17)</f>
        <v>-494870.48340033065</v>
      </c>
      <c r="L17" s="24">
        <f>'Berekening volumecorrectie 2022'!L44</f>
        <v>41315.119286457179</v>
      </c>
      <c r="M17" s="24">
        <f>'Berekening volumecorrectie 2022'!M44</f>
        <v>-266127.28836092557</v>
      </c>
      <c r="N17" s="24">
        <f>'Berekening volumecorrectie 2022'!N44</f>
        <v>-249853.05015028501</v>
      </c>
      <c r="O17" s="24">
        <f>'Berekening volumecorrectie 2022'!O44</f>
        <v>-28679.113122978335</v>
      </c>
      <c r="P17" s="24">
        <f>'Berekening volumecorrectie 2022'!P44</f>
        <v>8473.8489474010639</v>
      </c>
    </row>
    <row r="18" spans="2:18" x14ac:dyDescent="0.2">
      <c r="B18" s="2" t="s">
        <v>764</v>
      </c>
      <c r="F18" s="2" t="s">
        <v>149</v>
      </c>
      <c r="J18" s="97">
        <f>SUM(L18:P18)</f>
        <v>-28350.806842816786</v>
      </c>
      <c r="L18" s="137"/>
      <c r="M18" s="24">
        <f>'Berekening volumecorrectie 2022'!M58</f>
        <v>-28350.806842816786</v>
      </c>
      <c r="N18" s="137"/>
      <c r="O18" s="137"/>
      <c r="P18" s="137"/>
    </row>
    <row r="20" spans="2:18" x14ac:dyDescent="0.2">
      <c r="B20" s="1" t="s">
        <v>300</v>
      </c>
    </row>
    <row r="21" spans="2:18" x14ac:dyDescent="0.2">
      <c r="B21" s="2" t="s">
        <v>704</v>
      </c>
      <c r="F21" s="2" t="s">
        <v>149</v>
      </c>
      <c r="J21" s="97">
        <f>SUM(L21:P21)</f>
        <v>1745455.5233592987</v>
      </c>
      <c r="L21" s="24">
        <f>'Berekening profit sharing 2022'!L62</f>
        <v>9492.7819831741654</v>
      </c>
      <c r="M21" s="24">
        <f>'Berekening profit sharing 2022'!M62</f>
        <v>1298074.233606698</v>
      </c>
      <c r="N21" s="24">
        <f>'Berekening profit sharing 2022'!N62</f>
        <v>237452.0132783649</v>
      </c>
      <c r="O21" s="24">
        <f>'Berekening profit sharing 2022'!O62</f>
        <v>191002.46154918987</v>
      </c>
      <c r="P21" s="24">
        <f>'Berekening profit sharing 2022'!P62</f>
        <v>9434.0329418718611</v>
      </c>
    </row>
    <row r="22" spans="2:18" x14ac:dyDescent="0.2">
      <c r="B22" s="2" t="s">
        <v>705</v>
      </c>
      <c r="F22" s="2" t="s">
        <v>149</v>
      </c>
      <c r="J22" s="97">
        <f>SUM(L22:P22)</f>
        <v>-285594.47331342986</v>
      </c>
      <c r="L22" s="124"/>
      <c r="M22" s="24">
        <f>'Berekening profit sharing 2022'!M66</f>
        <v>-242980.23879553046</v>
      </c>
      <c r="N22" s="124"/>
      <c r="O22" s="24">
        <f>'Berekening profit sharing 2022'!O66</f>
        <v>-42614.234517899393</v>
      </c>
      <c r="P22" s="124"/>
    </row>
    <row r="24" spans="2:18" x14ac:dyDescent="0.2">
      <c r="B24" s="1" t="s">
        <v>301</v>
      </c>
    </row>
    <row r="25" spans="2:18" x14ac:dyDescent="0.2">
      <c r="B25" s="2" t="s">
        <v>399</v>
      </c>
      <c r="F25" s="2" t="s">
        <v>119</v>
      </c>
      <c r="J25" s="97">
        <f>SUM(L25:P25)</f>
        <v>-943400.09425250744</v>
      </c>
      <c r="M25" s="24">
        <f>'Input voor correcties'!M53</f>
        <v>-943400.09425250744</v>
      </c>
      <c r="R25" s="11"/>
    </row>
    <row r="28" spans="2:18" s="7" customFormat="1" x14ac:dyDescent="0.2">
      <c r="B28" s="7" t="s">
        <v>302</v>
      </c>
    </row>
    <row r="30" spans="2:18" x14ac:dyDescent="0.2">
      <c r="B30" s="1" t="s">
        <v>303</v>
      </c>
    </row>
    <row r="31" spans="2:18" x14ac:dyDescent="0.2">
      <c r="B31" s="2" t="s">
        <v>655</v>
      </c>
      <c r="F31" s="2" t="s">
        <v>171</v>
      </c>
      <c r="N31" s="24">
        <f>'Input voor correcties'!N56</f>
        <v>2450617.3655342958</v>
      </c>
    </row>
    <row r="32" spans="2:18" x14ac:dyDescent="0.2">
      <c r="B32" s="2" t="s">
        <v>656</v>
      </c>
      <c r="F32" s="2" t="s">
        <v>663</v>
      </c>
      <c r="N32" s="138">
        <f>'Input voor correcties'!N57</f>
        <v>0.40700000000000003</v>
      </c>
    </row>
    <row r="33" spans="2:18" x14ac:dyDescent="0.2">
      <c r="B33" s="2" t="s">
        <v>657</v>
      </c>
      <c r="F33" s="2" t="s">
        <v>663</v>
      </c>
      <c r="N33" s="138">
        <f>'Input voor correcties'!N58</f>
        <v>0.35160000000000002</v>
      </c>
    </row>
    <row r="34" spans="2:18" x14ac:dyDescent="0.2">
      <c r="B34" s="2" t="s">
        <v>264</v>
      </c>
      <c r="F34" s="2" t="s">
        <v>242</v>
      </c>
      <c r="N34" s="139">
        <f>'Input voor correcties'!N59</f>
        <v>3.75</v>
      </c>
    </row>
    <row r="35" spans="2:18" x14ac:dyDescent="0.2">
      <c r="B35" s="2" t="s">
        <v>658</v>
      </c>
      <c r="F35" s="2" t="s">
        <v>142</v>
      </c>
      <c r="N35" s="118">
        <f>'Input voor correcties'!N60</f>
        <v>0.495932826376275</v>
      </c>
    </row>
    <row r="37" spans="2:18" x14ac:dyDescent="0.2">
      <c r="B37" s="1" t="s">
        <v>304</v>
      </c>
    </row>
    <row r="38" spans="2:18" x14ac:dyDescent="0.2">
      <c r="B38" s="2" t="s">
        <v>706</v>
      </c>
      <c r="F38" s="2" t="s">
        <v>119</v>
      </c>
      <c r="N38" s="140">
        <f>N33-N32</f>
        <v>-5.5400000000000005E-2</v>
      </c>
    </row>
    <row r="39" spans="2:18" x14ac:dyDescent="0.2">
      <c r="B39" s="2" t="s">
        <v>707</v>
      </c>
      <c r="F39" s="2" t="s">
        <v>153</v>
      </c>
      <c r="N39" s="25">
        <f>N31*(1-N35)*N34</f>
        <v>4632284.1340428432</v>
      </c>
    </row>
    <row r="40" spans="2:18" x14ac:dyDescent="0.2">
      <c r="B40" s="2" t="s">
        <v>708</v>
      </c>
      <c r="F40" s="2" t="s">
        <v>119</v>
      </c>
      <c r="N40" s="25">
        <f>N39*N38</f>
        <v>-256628.54102597354</v>
      </c>
      <c r="R40" s="2" t="s">
        <v>709</v>
      </c>
    </row>
    <row r="43" spans="2:18" s="7" customFormat="1" x14ac:dyDescent="0.2">
      <c r="B43" s="7" t="s">
        <v>305</v>
      </c>
    </row>
    <row r="44" spans="2:18" x14ac:dyDescent="0.2">
      <c r="B44" s="11"/>
    </row>
    <row r="45" spans="2:18" x14ac:dyDescent="0.2">
      <c r="B45" s="2" t="s">
        <v>426</v>
      </c>
      <c r="F45" s="2" t="s">
        <v>198</v>
      </c>
      <c r="H45" s="168">
        <f>Parameters!H38</f>
        <v>1.03</v>
      </c>
    </row>
    <row r="46" spans="2:18" x14ac:dyDescent="0.2">
      <c r="B46" s="11"/>
    </row>
    <row r="47" spans="2:18" x14ac:dyDescent="0.2">
      <c r="B47" s="1" t="s">
        <v>731</v>
      </c>
    </row>
    <row r="48" spans="2:18" x14ac:dyDescent="0.2">
      <c r="B48" s="2" t="s">
        <v>732</v>
      </c>
      <c r="F48" s="2" t="s">
        <v>149</v>
      </c>
      <c r="M48" s="24">
        <f>'Input voor correcties'!M45</f>
        <v>214750.56682551</v>
      </c>
    </row>
    <row r="50" spans="2:18" x14ac:dyDescent="0.2">
      <c r="B50" s="1" t="s">
        <v>726</v>
      </c>
      <c r="N50" s="107"/>
    </row>
    <row r="51" spans="2:18" x14ac:dyDescent="0.2">
      <c r="B51" s="2" t="s">
        <v>733</v>
      </c>
      <c r="F51" s="2" t="s">
        <v>119</v>
      </c>
      <c r="N51" s="24">
        <f>'Input voor correcties'!N50</f>
        <v>74651.071060704649</v>
      </c>
    </row>
    <row r="54" spans="2:18" s="7" customFormat="1" x14ac:dyDescent="0.2">
      <c r="B54" s="7" t="s">
        <v>710</v>
      </c>
    </row>
    <row r="56" spans="2:18" x14ac:dyDescent="0.2">
      <c r="B56" s="2" t="s">
        <v>425</v>
      </c>
      <c r="F56" s="2" t="s">
        <v>198</v>
      </c>
      <c r="H56" s="37">
        <f>Parameters!H37</f>
        <v>1.0609</v>
      </c>
    </row>
    <row r="57" spans="2:18" x14ac:dyDescent="0.2">
      <c r="B57" s="2" t="s">
        <v>426</v>
      </c>
      <c r="F57" s="2" t="s">
        <v>198</v>
      </c>
      <c r="H57" s="37">
        <f>Parameters!H38</f>
        <v>1.03</v>
      </c>
    </row>
    <row r="59" spans="2:18" x14ac:dyDescent="0.2">
      <c r="B59" s="1" t="s">
        <v>711</v>
      </c>
    </row>
    <row r="60" spans="2:18" x14ac:dyDescent="0.2">
      <c r="B60" s="2" t="s">
        <v>167</v>
      </c>
      <c r="F60" s="2" t="s">
        <v>380</v>
      </c>
      <c r="J60" s="97">
        <f>SUM(L60:P60)</f>
        <v>-265069.10090443736</v>
      </c>
      <c r="L60" s="27"/>
      <c r="M60" s="27"/>
      <c r="N60" s="25">
        <f>N17*H56</f>
        <v>-265069.10090443736</v>
      </c>
      <c r="O60" s="27"/>
      <c r="P60" s="27"/>
      <c r="R60" s="2" t="s">
        <v>306</v>
      </c>
    </row>
    <row r="61" spans="2:18" x14ac:dyDescent="0.2">
      <c r="B61" s="2" t="s">
        <v>168</v>
      </c>
      <c r="F61" s="2" t="s">
        <v>380</v>
      </c>
      <c r="J61" s="97">
        <f>SUM(L61:P61)</f>
        <v>22743.74541975588</v>
      </c>
      <c r="L61" s="27"/>
      <c r="M61" s="21">
        <f>(L17+M18)*H56</f>
        <v>13753.839071458091</v>
      </c>
      <c r="N61" s="27"/>
      <c r="O61" s="27"/>
      <c r="P61" s="25">
        <f>P17*H56</f>
        <v>8989.906348297789</v>
      </c>
    </row>
    <row r="62" spans="2:18" x14ac:dyDescent="0.2">
      <c r="B62" s="2" t="s">
        <v>151</v>
      </c>
      <c r="F62" s="2" t="s">
        <v>380</v>
      </c>
      <c r="J62" s="97">
        <f>SUM(L62:P62)</f>
        <v>-312760.11133427365</v>
      </c>
      <c r="L62" s="27"/>
      <c r="M62" s="25">
        <f>M17*H56</f>
        <v>-282334.44022210594</v>
      </c>
      <c r="N62" s="27"/>
      <c r="O62" s="25">
        <f>O17*H56</f>
        <v>-30425.671112167714</v>
      </c>
      <c r="P62" s="27"/>
    </row>
    <row r="64" spans="2:18" x14ac:dyDescent="0.2">
      <c r="B64" s="1" t="s">
        <v>712</v>
      </c>
    </row>
    <row r="65" spans="2:18" x14ac:dyDescent="0.2">
      <c r="B65" s="2" t="s">
        <v>167</v>
      </c>
      <c r="F65" s="2" t="s">
        <v>380</v>
      </c>
      <c r="J65" s="97">
        <f>SUM(L65:P65)</f>
        <v>251912.84088701732</v>
      </c>
      <c r="L65" s="27"/>
      <c r="M65" s="27"/>
      <c r="N65" s="25">
        <f>N21*H56</f>
        <v>251912.84088701732</v>
      </c>
      <c r="O65" s="27"/>
      <c r="P65" s="27"/>
      <c r="R65" s="2" t="s">
        <v>306</v>
      </c>
    </row>
    <row r="66" spans="2:18" x14ac:dyDescent="0.2">
      <c r="B66" s="2" t="s">
        <v>168</v>
      </c>
      <c r="F66" s="2" t="s">
        <v>380</v>
      </c>
      <c r="J66" s="97">
        <f>SUM(L66:P66)</f>
        <v>-282907.71878423635</v>
      </c>
      <c r="L66" s="27"/>
      <c r="M66" s="21">
        <f>(L21+M22)*H56</f>
        <v>-247706.84293222878</v>
      </c>
      <c r="N66" s="27"/>
      <c r="O66" s="25">
        <f>O22*H56</f>
        <v>-45209.441400039461</v>
      </c>
      <c r="P66" s="25">
        <f>P21*H56</f>
        <v>10008.565548031856</v>
      </c>
    </row>
    <row r="67" spans="2:18" x14ac:dyDescent="0.2">
      <c r="B67" s="2" t="s">
        <v>151</v>
      </c>
      <c r="F67" s="2" t="s">
        <v>380</v>
      </c>
      <c r="J67" s="97">
        <f>SUM(L67:P67)</f>
        <v>1579761.4658908814</v>
      </c>
      <c r="L67" s="27"/>
      <c r="M67" s="25">
        <f>M21*H56</f>
        <v>1377126.9544333459</v>
      </c>
      <c r="N67" s="27"/>
      <c r="O67" s="25">
        <f>O21*H56</f>
        <v>202634.51145753553</v>
      </c>
      <c r="P67" s="27"/>
    </row>
    <row r="69" spans="2:18" x14ac:dyDescent="0.2">
      <c r="B69" s="1" t="s">
        <v>713</v>
      </c>
    </row>
    <row r="70" spans="2:18" x14ac:dyDescent="0.2">
      <c r="B70" s="2" t="s">
        <v>167</v>
      </c>
      <c r="F70" s="2" t="s">
        <v>380</v>
      </c>
      <c r="J70" s="97">
        <f>SUM(L70:P70)</f>
        <v>-264327.39725675277</v>
      </c>
      <c r="L70" s="124"/>
      <c r="M70" s="27"/>
      <c r="N70" s="25">
        <f>N40*H57</f>
        <v>-264327.39725675277</v>
      </c>
      <c r="O70" s="27"/>
      <c r="P70" s="27"/>
      <c r="R70" s="2" t="s">
        <v>307</v>
      </c>
    </row>
    <row r="71" spans="2:18" x14ac:dyDescent="0.2">
      <c r="B71" s="2" t="s">
        <v>401</v>
      </c>
      <c r="F71" s="2" t="s">
        <v>380</v>
      </c>
      <c r="J71" s="97">
        <f>SUM(L71:P71)</f>
        <v>-971702.09708008263</v>
      </c>
      <c r="L71" s="124"/>
      <c r="M71" s="25">
        <f>M25*H57</f>
        <v>-971702.09708008263</v>
      </c>
      <c r="N71" s="124"/>
      <c r="O71" s="124"/>
      <c r="P71" s="124"/>
    </row>
    <row r="72" spans="2:18" x14ac:dyDescent="0.2">
      <c r="B72" s="2" t="s">
        <v>151</v>
      </c>
      <c r="F72" s="2" t="s">
        <v>380</v>
      </c>
      <c r="J72" s="97">
        <f>SUM(L72:P72)</f>
        <v>0</v>
      </c>
      <c r="L72" s="27"/>
      <c r="M72" s="27"/>
      <c r="N72" s="27"/>
      <c r="O72" s="27"/>
      <c r="P72" s="27"/>
    </row>
    <row r="74" spans="2:18" x14ac:dyDescent="0.2">
      <c r="B74" s="1" t="s">
        <v>308</v>
      </c>
    </row>
    <row r="75" spans="2:18" x14ac:dyDescent="0.2">
      <c r="B75" s="2" t="s">
        <v>567</v>
      </c>
      <c r="F75" s="2" t="s">
        <v>380</v>
      </c>
      <c r="J75" s="97">
        <f>SUM(L75:P75)</f>
        <v>227828.87634518355</v>
      </c>
      <c r="L75" s="27"/>
      <c r="M75" s="25">
        <f>M48*H56</f>
        <v>227828.87634518355</v>
      </c>
      <c r="N75" s="27"/>
      <c r="O75" s="27"/>
      <c r="P75" s="27"/>
    </row>
    <row r="77" spans="2:18" x14ac:dyDescent="0.2">
      <c r="B77" s="1" t="s">
        <v>766</v>
      </c>
    </row>
    <row r="78" spans="2:18" x14ac:dyDescent="0.2">
      <c r="B78" s="2" t="s">
        <v>167</v>
      </c>
      <c r="F78" s="2" t="s">
        <v>380</v>
      </c>
      <c r="J78" s="97">
        <f>SUM(L78:P78)</f>
        <v>76890.603192525785</v>
      </c>
      <c r="L78" s="27"/>
      <c r="M78" s="27"/>
      <c r="N78" s="25">
        <f>N51*H57</f>
        <v>76890.603192525785</v>
      </c>
      <c r="O78" s="27"/>
      <c r="P78" s="27"/>
    </row>
    <row r="80" spans="2:18" x14ac:dyDescent="0.2">
      <c r="B80" s="1" t="s">
        <v>714</v>
      </c>
    </row>
    <row r="81" spans="2:18" x14ac:dyDescent="0.2">
      <c r="B81" s="2" t="s">
        <v>309</v>
      </c>
      <c r="F81" s="2" t="s">
        <v>380</v>
      </c>
      <c r="J81" s="97">
        <f>SUM(L81:P81)</f>
        <v>-200593.05408164702</v>
      </c>
      <c r="L81" s="124"/>
      <c r="M81" s="124"/>
      <c r="N81" s="19">
        <f>N60+N65+N70+N78</f>
        <v>-200593.05408164702</v>
      </c>
      <c r="O81" s="124"/>
      <c r="P81" s="124"/>
    </row>
    <row r="82" spans="2:18" x14ac:dyDescent="0.2">
      <c r="B82" s="2" t="s">
        <v>567</v>
      </c>
      <c r="F82" s="2" t="s">
        <v>380</v>
      </c>
      <c r="J82" s="97">
        <f>SUM(L82:P82)</f>
        <v>-32335.097019296954</v>
      </c>
      <c r="L82" s="124"/>
      <c r="M82" s="19">
        <f>M61+M66+M75</f>
        <v>-6124.1275155871408</v>
      </c>
      <c r="N82" s="124"/>
      <c r="O82" s="19">
        <f>O61+O66</f>
        <v>-45209.441400039461</v>
      </c>
      <c r="P82" s="19">
        <f>P61+P66</f>
        <v>18998.471896329647</v>
      </c>
      <c r="R82" s="2" t="s">
        <v>310</v>
      </c>
    </row>
    <row r="83" spans="2:18" x14ac:dyDescent="0.2">
      <c r="B83" s="2" t="s">
        <v>401</v>
      </c>
      <c r="F83" s="2" t="s">
        <v>380</v>
      </c>
      <c r="J83" s="97">
        <f>SUM(L83:P83)</f>
        <v>-971702.09708008263</v>
      </c>
      <c r="L83" s="124"/>
      <c r="M83" s="19">
        <f>M71</f>
        <v>-971702.09708008263</v>
      </c>
      <c r="N83" s="124"/>
      <c r="O83" s="124"/>
      <c r="P83" s="124"/>
    </row>
    <row r="84" spans="2:18" x14ac:dyDescent="0.2">
      <c r="B84" s="2" t="s">
        <v>151</v>
      </c>
      <c r="F84" s="2" t="s">
        <v>380</v>
      </c>
      <c r="J84" s="97">
        <f>SUM(L84:P84)</f>
        <v>1267001.3545566078</v>
      </c>
      <c r="L84" s="124"/>
      <c r="M84" s="19">
        <f>M62+M67</f>
        <v>1094792.51421124</v>
      </c>
      <c r="N84" s="124"/>
      <c r="O84" s="19">
        <f>O62+O67</f>
        <v>172208.84034536782</v>
      </c>
      <c r="P84" s="124"/>
    </row>
    <row r="89" spans="2:18" x14ac:dyDescent="0.2">
      <c r="B89" s="3" t="s">
        <v>58</v>
      </c>
    </row>
  </sheetData>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492F2-880F-4C6B-9419-32BDFCD56AE4}">
  <sheetPr>
    <tabColor theme="0" tint="-4.9989318521683403E-2"/>
  </sheetPr>
  <dimension ref="B2:B3"/>
  <sheetViews>
    <sheetView showGridLines="0" zoomScale="85" zoomScaleNormal="85" workbookViewId="0">
      <selection activeCell="A4" sqref="A4"/>
    </sheetView>
  </sheetViews>
  <sheetFormatPr defaultRowHeight="12.75" x14ac:dyDescent="0.2"/>
  <cols>
    <col min="1" max="1" width="5.7109375" style="14" customWidth="1"/>
    <col min="2" max="16384" width="9.140625" style="14"/>
  </cols>
  <sheetData>
    <row r="2" spans="2:2" x14ac:dyDescent="0.2">
      <c r="B2" s="26" t="s">
        <v>62</v>
      </c>
    </row>
    <row r="3" spans="2:2" x14ac:dyDescent="0.2">
      <c r="B3" s="26" t="s">
        <v>63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D57E3-268E-4C5F-92A3-AD84BFFA5CED}">
  <sheetPr>
    <tabColor rgb="FFFFFFCC"/>
  </sheetPr>
  <dimension ref="A2:W97"/>
  <sheetViews>
    <sheetView showGridLines="0" zoomScale="85" zoomScaleNormal="85" workbookViewId="0">
      <pane xSplit="6" ySplit="10" topLeftCell="G30" activePane="bottomRight" state="frozen"/>
      <selection activeCell="A4" sqref="A4"/>
      <selection pane="topRight" activeCell="A4" sqref="A4"/>
      <selection pane="bottomLeft" activeCell="A4" sqref="A4"/>
      <selection pane="bottomRight" activeCell="N53" sqref="N53"/>
    </sheetView>
  </sheetViews>
  <sheetFormatPr defaultRowHeight="12.75" x14ac:dyDescent="0.2"/>
  <cols>
    <col min="1" max="1" width="4.7109375" style="2" customWidth="1"/>
    <col min="2" max="2" width="68"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20" s="10" customFormat="1" ht="18" x14ac:dyDescent="0.2">
      <c r="B2" s="10" t="s">
        <v>518</v>
      </c>
    </row>
    <row r="4" spans="2:20" x14ac:dyDescent="0.2">
      <c r="B4" s="17" t="s">
        <v>311</v>
      </c>
      <c r="C4" s="1"/>
      <c r="D4" s="1"/>
    </row>
    <row r="5" spans="2:20" x14ac:dyDescent="0.2">
      <c r="B5" s="2" t="s">
        <v>519</v>
      </c>
      <c r="H5" s="11"/>
    </row>
    <row r="6" spans="2:20" x14ac:dyDescent="0.2">
      <c r="B6" s="2" t="s">
        <v>520</v>
      </c>
      <c r="H6" s="11"/>
    </row>
    <row r="7" spans="2:20" x14ac:dyDescent="0.2">
      <c r="H7" s="11"/>
    </row>
    <row r="9" spans="2:20" s="7" customFormat="1" ht="25.5" customHeight="1" x14ac:dyDescent="0.2">
      <c r="B9" s="7" t="s">
        <v>36</v>
      </c>
      <c r="F9" s="7" t="s">
        <v>19</v>
      </c>
      <c r="H9" s="7" t="s">
        <v>20</v>
      </c>
      <c r="J9" s="7" t="s">
        <v>40</v>
      </c>
      <c r="L9" s="95" t="s">
        <v>204</v>
      </c>
      <c r="M9" s="95" t="s">
        <v>205</v>
      </c>
      <c r="N9" s="95" t="s">
        <v>206</v>
      </c>
      <c r="O9" s="95" t="s">
        <v>207</v>
      </c>
      <c r="P9" s="95" t="s">
        <v>208</v>
      </c>
      <c r="T9" s="7" t="s">
        <v>38</v>
      </c>
    </row>
    <row r="12" spans="2:20" s="7" customFormat="1" x14ac:dyDescent="0.2">
      <c r="B12" s="7" t="s">
        <v>39</v>
      </c>
    </row>
    <row r="14" spans="2:20" x14ac:dyDescent="0.2">
      <c r="B14" s="17" t="s">
        <v>141</v>
      </c>
    </row>
    <row r="15" spans="2:20" x14ac:dyDescent="0.2">
      <c r="B15" s="2" t="s">
        <v>521</v>
      </c>
      <c r="F15" s="2" t="s">
        <v>142</v>
      </c>
      <c r="L15" s="118">
        <f>Parameters!$H$44</f>
        <v>6.4600000000000005E-2</v>
      </c>
      <c r="M15" s="118">
        <f>Parameters!$H$45</f>
        <v>5.7200000000000001E-2</v>
      </c>
      <c r="N15" s="118">
        <f>Parameters!$H$46</f>
        <v>6.3799999999999996E-2</v>
      </c>
      <c r="O15" s="118">
        <f>Parameters!$H$46</f>
        <v>6.3799999999999996E-2</v>
      </c>
      <c r="P15" s="118">
        <f>Parameters!$H$46</f>
        <v>6.3799999999999996E-2</v>
      </c>
      <c r="T15" s="2" t="s">
        <v>312</v>
      </c>
    </row>
    <row r="16" spans="2:20" x14ac:dyDescent="0.2">
      <c r="B16" s="2" t="s">
        <v>144</v>
      </c>
      <c r="F16" s="2" t="s">
        <v>142</v>
      </c>
      <c r="H16" s="118">
        <f>Parameters!H29</f>
        <v>8.7999999999999995E-2</v>
      </c>
    </row>
    <row r="17" spans="2:20" x14ac:dyDescent="0.2">
      <c r="B17" s="2" t="s">
        <v>390</v>
      </c>
      <c r="F17" s="2" t="s">
        <v>142</v>
      </c>
      <c r="H17" s="118">
        <f>Parameters!H30</f>
        <v>1.9E-2</v>
      </c>
    </row>
    <row r="19" spans="2:20" x14ac:dyDescent="0.2">
      <c r="B19" s="17" t="s">
        <v>522</v>
      </c>
    </row>
    <row r="20" spans="2:20" x14ac:dyDescent="0.2">
      <c r="B20" s="2" t="s">
        <v>523</v>
      </c>
      <c r="F20" s="42" t="s">
        <v>214</v>
      </c>
      <c r="J20" s="97">
        <f>SUM(L20:P20)</f>
        <v>57697076.181361765</v>
      </c>
      <c r="L20" s="24">
        <f>'Gegevens kosten 2022'!L17</f>
        <v>364453.89301103319</v>
      </c>
      <c r="M20" s="24">
        <f>'Gegevens kosten 2022'!M17</f>
        <v>38075465.111224987</v>
      </c>
      <c r="N20" s="24">
        <f>'Gegevens kosten 2022'!N17</f>
        <v>2735273.1734040701</v>
      </c>
      <c r="O20" s="24">
        <f>'Gegevens kosten 2022'!O17</f>
        <v>16505572.410101922</v>
      </c>
      <c r="P20" s="24">
        <f>'Gegevens kosten 2022'!P17</f>
        <v>16311.593619753781</v>
      </c>
      <c r="T20" s="2" t="s">
        <v>313</v>
      </c>
    </row>
    <row r="21" spans="2:20" x14ac:dyDescent="0.2">
      <c r="B21" s="2" t="s">
        <v>433</v>
      </c>
      <c r="F21" s="2" t="s">
        <v>149</v>
      </c>
      <c r="J21" s="97">
        <f>SUM(L21:P21)</f>
        <v>5473819.4055978525</v>
      </c>
      <c r="L21" s="24">
        <f>'Gegevens kosten 2022'!L18</f>
        <v>59348.898891860561</v>
      </c>
      <c r="M21" s="24">
        <f>'Gegevens kosten 2022'!M18</f>
        <v>2951807.1632914026</v>
      </c>
      <c r="N21" s="24">
        <f>'Gegevens kosten 2022'!N18</f>
        <v>281494.54088774108</v>
      </c>
      <c r="O21" s="24">
        <f>'Gegevens kosten 2022'!O18</f>
        <v>2122614.2905211276</v>
      </c>
      <c r="P21" s="24">
        <f>'Gegevens kosten 2022'!P18</f>
        <v>58554.512005719866</v>
      </c>
    </row>
    <row r="22" spans="2:20" x14ac:dyDescent="0.2">
      <c r="B22" s="2" t="s">
        <v>524</v>
      </c>
      <c r="F22" s="2" t="s">
        <v>149</v>
      </c>
      <c r="J22" s="97">
        <f>SUM(L22:P22)</f>
        <v>15299438.415400999</v>
      </c>
      <c r="L22" s="24">
        <f>'Gegevens kosten 2022'!L32</f>
        <v>75643.334961504763</v>
      </c>
      <c r="M22" s="24">
        <f>'Gegevens kosten 2022'!M32</f>
        <v>9460213.8645966854</v>
      </c>
      <c r="N22" s="24">
        <f>'Gegevens kosten 2022'!N32</f>
        <v>2310657.1750644064</v>
      </c>
      <c r="O22" s="24">
        <f>'Gegevens kosten 2022'!O32</f>
        <v>3333954.4488974279</v>
      </c>
      <c r="P22" s="24">
        <f>'Gegevens kosten 2022'!P32</f>
        <v>118969.59188097197</v>
      </c>
    </row>
    <row r="24" spans="2:20" x14ac:dyDescent="0.2">
      <c r="B24" s="1" t="s">
        <v>439</v>
      </c>
    </row>
    <row r="25" spans="2:20" x14ac:dyDescent="0.2">
      <c r="B25" s="2" t="s">
        <v>440</v>
      </c>
      <c r="F25" s="2" t="s">
        <v>142</v>
      </c>
      <c r="L25" s="141">
        <f>'Gegevens kosten 2022'!L40</f>
        <v>0</v>
      </c>
      <c r="M25" s="141">
        <f>'Gegevens kosten 2022'!M40</f>
        <v>0.5</v>
      </c>
      <c r="N25" s="141">
        <f>'Gegevens kosten 2022'!N40</f>
        <v>0</v>
      </c>
      <c r="O25" s="141">
        <f>'Gegevens kosten 2022'!O40</f>
        <v>0.5</v>
      </c>
      <c r="P25" s="141">
        <f>'Gegevens kosten 2022'!P40</f>
        <v>0.5</v>
      </c>
    </row>
    <row r="26" spans="2:20" x14ac:dyDescent="0.2">
      <c r="B26" s="2" t="s">
        <v>441</v>
      </c>
      <c r="F26" s="2" t="s">
        <v>142</v>
      </c>
      <c r="L26" s="141">
        <f>'Gegevens kosten 2022'!L41</f>
        <v>0</v>
      </c>
      <c r="M26" s="141">
        <f>'Gegevens kosten 2022'!M41</f>
        <v>0.5</v>
      </c>
      <c r="N26" s="141">
        <f>'Gegevens kosten 2022'!N41</f>
        <v>0</v>
      </c>
      <c r="O26" s="141">
        <f>'Gegevens kosten 2022'!O41</f>
        <v>0.5</v>
      </c>
      <c r="P26" s="141">
        <f>'Gegevens kosten 2022'!P41</f>
        <v>0.5</v>
      </c>
    </row>
    <row r="27" spans="2:20" x14ac:dyDescent="0.2">
      <c r="B27" s="2" t="s">
        <v>219</v>
      </c>
      <c r="F27" s="2" t="s">
        <v>142</v>
      </c>
      <c r="L27" s="141">
        <f>'Gegevens kosten 2022'!L42</f>
        <v>0</v>
      </c>
      <c r="M27" s="141">
        <f>'Gegevens kosten 2022'!M42</f>
        <v>0.12277444991284184</v>
      </c>
      <c r="N27" s="141">
        <f>'Gegevens kosten 2022'!N42</f>
        <v>0.31407453346946029</v>
      </c>
      <c r="O27" s="141">
        <f>'Gegevens kosten 2022'!O42</f>
        <v>0.12911127212132739</v>
      </c>
      <c r="P27" s="141">
        <f>'Gegevens kosten 2022'!P42</f>
        <v>0.12911127212132739</v>
      </c>
      <c r="T27" s="2" t="s">
        <v>529</v>
      </c>
    </row>
    <row r="29" spans="2:20" x14ac:dyDescent="0.2">
      <c r="B29" s="1" t="s">
        <v>525</v>
      </c>
    </row>
    <row r="30" spans="2:20" x14ac:dyDescent="0.2">
      <c r="B30" s="2" t="s">
        <v>233</v>
      </c>
      <c r="F30" s="2" t="s">
        <v>234</v>
      </c>
      <c r="L30" s="13" t="s">
        <v>153</v>
      </c>
      <c r="M30" s="13" t="s">
        <v>155</v>
      </c>
      <c r="N30" s="13" t="s">
        <v>171</v>
      </c>
      <c r="O30" s="13" t="s">
        <v>175</v>
      </c>
      <c r="P30" s="13" t="s">
        <v>171</v>
      </c>
    </row>
    <row r="31" spans="2:20" x14ac:dyDescent="0.2">
      <c r="B31" s="2" t="s">
        <v>526</v>
      </c>
      <c r="F31" s="2" t="s">
        <v>225</v>
      </c>
      <c r="L31" s="24">
        <f>'Gegevens volumes 2022'!L66</f>
        <v>231464</v>
      </c>
      <c r="M31" s="24">
        <f>'Gegevens volumes 2022'!M66</f>
        <v>105911.59051751401</v>
      </c>
      <c r="N31" s="24">
        <f>'Gegevens volumes 2022'!N66</f>
        <v>2301173.0000000005</v>
      </c>
      <c r="O31" s="24">
        <f>'Gegevens volumes 2022'!O66</f>
        <v>3088.0948004952606</v>
      </c>
      <c r="P31" s="24">
        <f>'Gegevens volumes 2022'!P66</f>
        <v>15813.5</v>
      </c>
    </row>
    <row r="34" spans="1:23" s="7" customFormat="1" x14ac:dyDescent="0.2">
      <c r="B34" s="7" t="s">
        <v>530</v>
      </c>
    </row>
    <row r="36" spans="1:23" x14ac:dyDescent="0.2">
      <c r="B36" s="17" t="s">
        <v>314</v>
      </c>
    </row>
    <row r="37" spans="1:23" x14ac:dyDescent="0.2">
      <c r="B37" s="2" t="s">
        <v>216</v>
      </c>
      <c r="F37" s="42" t="s">
        <v>214</v>
      </c>
      <c r="N37" s="24">
        <f>'Gegevens kosten 2022'!N27</f>
        <v>11680343.850784749</v>
      </c>
      <c r="T37" s="2" t="s">
        <v>315</v>
      </c>
    </row>
    <row r="38" spans="1:23" x14ac:dyDescent="0.2">
      <c r="B38" s="2" t="s">
        <v>435</v>
      </c>
      <c r="F38" s="42" t="s">
        <v>380</v>
      </c>
      <c r="N38" s="24">
        <f>'Gegevens kosten 2022'!N28</f>
        <v>916773.85358333378</v>
      </c>
    </row>
    <row r="39" spans="1:23" x14ac:dyDescent="0.2">
      <c r="B39" s="2" t="s">
        <v>436</v>
      </c>
      <c r="F39" s="42" t="s">
        <v>214</v>
      </c>
      <c r="N39" s="24">
        <f>'Gegevens kosten 2022'!N29</f>
        <v>10763569.997201407</v>
      </c>
    </row>
    <row r="40" spans="1:23" x14ac:dyDescent="0.2">
      <c r="B40" s="2" t="s">
        <v>531</v>
      </c>
      <c r="F40" s="42" t="s">
        <v>214</v>
      </c>
      <c r="N40" s="25">
        <f>AVERAGE(N39,N37)</f>
        <v>11221956.923993077</v>
      </c>
    </row>
    <row r="41" spans="1:23" x14ac:dyDescent="0.2">
      <c r="B41" s="2" t="s">
        <v>741</v>
      </c>
      <c r="F41" s="42" t="s">
        <v>380</v>
      </c>
      <c r="N41" s="25">
        <f>N40*N15+N38</f>
        <v>1632734.705334092</v>
      </c>
    </row>
    <row r="43" spans="1:23" x14ac:dyDescent="0.2">
      <c r="B43" s="1" t="s">
        <v>316</v>
      </c>
    </row>
    <row r="44" spans="1:23" x14ac:dyDescent="0.2">
      <c r="A44" s="175"/>
      <c r="B44" s="2" t="s">
        <v>317</v>
      </c>
      <c r="F44" s="2" t="s">
        <v>532</v>
      </c>
      <c r="H44" s="160">
        <f>'Vaste tarieven elektriciteit'!H40</f>
        <v>13.238576491675817</v>
      </c>
      <c r="W44" s="16"/>
    </row>
    <row r="45" spans="1:23" x14ac:dyDescent="0.2">
      <c r="B45" s="2" t="s">
        <v>318</v>
      </c>
      <c r="F45" s="2" t="s">
        <v>155</v>
      </c>
      <c r="N45" s="142">
        <f>'Gegevens raming 2024'!N28</f>
        <v>1967</v>
      </c>
    </row>
    <row r="46" spans="1:23" x14ac:dyDescent="0.2">
      <c r="B46" s="2" t="s">
        <v>319</v>
      </c>
      <c r="F46" s="2" t="s">
        <v>532</v>
      </c>
      <c r="N46" s="97">
        <f>N45*H44*12</f>
        <v>312483.35950951598</v>
      </c>
      <c r="T46" s="2" t="s">
        <v>320</v>
      </c>
    </row>
    <row r="48" spans="1:23" s="7" customFormat="1" x14ac:dyDescent="0.2">
      <c r="B48" s="7" t="s">
        <v>533</v>
      </c>
    </row>
    <row r="50" spans="1:20" x14ac:dyDescent="0.2">
      <c r="B50" s="157" t="s">
        <v>497</v>
      </c>
    </row>
    <row r="51" spans="1:20" x14ac:dyDescent="0.2">
      <c r="A51" s="175"/>
      <c r="B51" s="2" t="s">
        <v>514</v>
      </c>
      <c r="N51" s="24">
        <f>'Omvangrijke gebeurtenissen 2024'!N46</f>
        <v>6992973.2095866008</v>
      </c>
      <c r="T51" s="2" t="s">
        <v>315</v>
      </c>
    </row>
    <row r="52" spans="1:20" x14ac:dyDescent="0.2">
      <c r="B52" s="2" t="s">
        <v>508</v>
      </c>
      <c r="F52" s="2" t="s">
        <v>380</v>
      </c>
      <c r="N52" s="24">
        <f>'Omvangrijke gebeurtenissen 2024'!N41</f>
        <v>356356.25598904863</v>
      </c>
    </row>
    <row r="53" spans="1:20" x14ac:dyDescent="0.2">
      <c r="B53" s="2" t="s">
        <v>737</v>
      </c>
      <c r="F53" s="2" t="s">
        <v>380</v>
      </c>
      <c r="N53" s="24">
        <f>'Omvangrijke gebeurtenissen 2024'!N47</f>
        <v>802507.94676067377</v>
      </c>
    </row>
    <row r="54" spans="1:20" x14ac:dyDescent="0.2">
      <c r="B54" s="2" t="s">
        <v>515</v>
      </c>
      <c r="F54" s="2" t="s">
        <v>380</v>
      </c>
      <c r="N54" s="24">
        <f>'Omvangrijke gebeurtenissen 2024'!N48</f>
        <v>166950</v>
      </c>
      <c r="T54" s="2" t="s">
        <v>534</v>
      </c>
    </row>
    <row r="56" spans="1:20" x14ac:dyDescent="0.2">
      <c r="B56" s="1" t="s">
        <v>491</v>
      </c>
    </row>
    <row r="57" spans="1:20" x14ac:dyDescent="0.2">
      <c r="B57" s="2" t="s">
        <v>514</v>
      </c>
      <c r="F57" s="2" t="s">
        <v>214</v>
      </c>
      <c r="J57" s="25">
        <f t="shared" ref="J57:J59" si="0">SUM(L57:O57)</f>
        <v>2875476.2796753934</v>
      </c>
      <c r="L57" s="24">
        <f>'Omvangrijke gebeurtenissen 2024'!L57</f>
        <v>14377.381398376971</v>
      </c>
      <c r="M57" s="24">
        <f>'Omvangrijke gebeurtenissen 2024'!M57</f>
        <v>2157524.9149521859</v>
      </c>
      <c r="N57" s="24">
        <f>'Omvangrijke gebeurtenissen 2024'!N57</f>
        <v>118329.53998036456</v>
      </c>
      <c r="O57" s="24">
        <f>'Omvangrijke gebeurtenissen 2024'!O57</f>
        <v>585244.44334446604</v>
      </c>
      <c r="T57" s="2" t="s">
        <v>315</v>
      </c>
    </row>
    <row r="58" spans="1:20" x14ac:dyDescent="0.2">
      <c r="B58" s="2" t="s">
        <v>508</v>
      </c>
      <c r="F58" s="2" t="s">
        <v>380</v>
      </c>
      <c r="J58" s="25">
        <f t="shared" si="0"/>
        <v>72494.751416837782</v>
      </c>
      <c r="L58" s="24">
        <f>'Omvangrijke gebeurtenissen 2024'!L52</f>
        <v>362.47375708418895</v>
      </c>
      <c r="M58" s="24">
        <f>'Omvangrijke gebeurtenissen 2024'!M52</f>
        <v>54394.200185420937</v>
      </c>
      <c r="N58" s="24">
        <f>'Omvangrijke gebeurtenissen 2024'!N52</f>
        <v>2983.2520778483622</v>
      </c>
      <c r="O58" s="24">
        <f>'Omvangrijke gebeurtenissen 2024'!O52</f>
        <v>14754.825396484292</v>
      </c>
    </row>
    <row r="59" spans="1:20" x14ac:dyDescent="0.2">
      <c r="B59" s="2" t="s">
        <v>737</v>
      </c>
      <c r="F59" s="2" t="s">
        <v>380</v>
      </c>
      <c r="J59" s="25">
        <f t="shared" si="0"/>
        <v>241721.97552656219</v>
      </c>
      <c r="L59" s="24">
        <f>'Omvangrijke gebeurtenissen 2024'!L58</f>
        <v>1291.2525954193413</v>
      </c>
      <c r="M59" s="24">
        <f>'Omvangrijke gebeurtenissen 2024'!M58</f>
        <v>177804.62532068597</v>
      </c>
      <c r="N59" s="24">
        <f>'Omvangrijke gebeurtenissen 2024'!N58</f>
        <v>10532.676728595619</v>
      </c>
      <c r="O59" s="24">
        <f>'Omvangrijke gebeurtenissen 2024'!O58</f>
        <v>52093.420881861224</v>
      </c>
    </row>
    <row r="61" spans="1:20" x14ac:dyDescent="0.2">
      <c r="B61" s="1" t="s">
        <v>499</v>
      </c>
    </row>
    <row r="62" spans="1:20" x14ac:dyDescent="0.2">
      <c r="B62" s="2" t="s">
        <v>535</v>
      </c>
      <c r="F62" s="2" t="s">
        <v>380</v>
      </c>
      <c r="J62" s="25">
        <f>SUM(L62:O62)</f>
        <v>383184.42</v>
      </c>
      <c r="L62" s="24">
        <f>'Omvangrijke gebeurtenissen 2024'!L61</f>
        <v>1915.9221</v>
      </c>
      <c r="M62" s="24">
        <f>'Omvangrijke gebeurtenissen 2024'!M61</f>
        <v>287510.60789999994</v>
      </c>
      <c r="N62" s="24">
        <f>'Omvangrijke gebeurtenissen 2024'!N61</f>
        <v>15768.530753229294</v>
      </c>
      <c r="O62" s="24">
        <f>'Omvangrijke gebeurtenissen 2024'!O61</f>
        <v>77989.359246770735</v>
      </c>
      <c r="T62" s="2" t="s">
        <v>534</v>
      </c>
    </row>
    <row r="65" spans="2:22" s="7" customFormat="1" x14ac:dyDescent="0.2">
      <c r="B65" s="7" t="s">
        <v>536</v>
      </c>
    </row>
    <row r="67" spans="2:22" x14ac:dyDescent="0.2">
      <c r="B67" s="1" t="s">
        <v>537</v>
      </c>
    </row>
    <row r="68" spans="2:22" x14ac:dyDescent="0.2">
      <c r="B68" s="2" t="s">
        <v>538</v>
      </c>
      <c r="F68" s="2" t="s">
        <v>149</v>
      </c>
      <c r="J68" s="97">
        <f>SUM(L68:P68)</f>
        <v>27298674.557473332</v>
      </c>
      <c r="L68" s="25">
        <f t="shared" ref="L68:P70" si="1">L20*L25</f>
        <v>0</v>
      </c>
      <c r="M68" s="25">
        <f t="shared" si="1"/>
        <v>19037732.555612493</v>
      </c>
      <c r="N68" s="25">
        <f t="shared" si="1"/>
        <v>0</v>
      </c>
      <c r="O68" s="25">
        <f t="shared" si="1"/>
        <v>8252786.2050509611</v>
      </c>
      <c r="P68" s="25">
        <f t="shared" si="1"/>
        <v>8155.7968098768906</v>
      </c>
      <c r="V68" s="165"/>
    </row>
    <row r="69" spans="2:22" x14ac:dyDescent="0.2">
      <c r="B69" s="2" t="s">
        <v>539</v>
      </c>
      <c r="F69" s="2" t="s">
        <v>149</v>
      </c>
      <c r="J69" s="97">
        <f>SUM(L69:P69)</f>
        <v>2566487.9829091253</v>
      </c>
      <c r="L69" s="25">
        <f t="shared" si="1"/>
        <v>0</v>
      </c>
      <c r="M69" s="25">
        <f t="shared" si="1"/>
        <v>1475903.5816457013</v>
      </c>
      <c r="N69" s="25">
        <f t="shared" si="1"/>
        <v>0</v>
      </c>
      <c r="O69" s="25">
        <f t="shared" si="1"/>
        <v>1061307.1452605638</v>
      </c>
      <c r="P69" s="25">
        <f t="shared" si="1"/>
        <v>29277.256002859933</v>
      </c>
      <c r="V69" s="165"/>
    </row>
    <row r="70" spans="2:22" x14ac:dyDescent="0.2">
      <c r="B70" s="2" t="s">
        <v>540</v>
      </c>
      <c r="F70" s="2" t="s">
        <v>149</v>
      </c>
      <c r="J70" s="97">
        <f>SUM(L70:P70)</f>
        <v>2333002.542993126</v>
      </c>
      <c r="L70" s="25">
        <f t="shared" si="1"/>
        <v>0</v>
      </c>
      <c r="M70" s="25">
        <f t="shared" si="1"/>
        <v>1161472.5532836977</v>
      </c>
      <c r="N70" s="25">
        <f t="shared" si="1"/>
        <v>725718.57426621451</v>
      </c>
      <c r="O70" s="25">
        <f t="shared" si="1"/>
        <v>430451.10009170591</v>
      </c>
      <c r="P70" s="25">
        <f t="shared" si="1"/>
        <v>15360.315351507434</v>
      </c>
      <c r="U70" s="161"/>
      <c r="V70" s="23"/>
    </row>
    <row r="71" spans="2:22" x14ac:dyDescent="0.2">
      <c r="U71" s="161"/>
      <c r="V71" s="23"/>
    </row>
    <row r="72" spans="2:22" x14ac:dyDescent="0.2">
      <c r="B72" s="2" t="s">
        <v>541</v>
      </c>
      <c r="F72" s="2" t="s">
        <v>380</v>
      </c>
      <c r="J72" s="97">
        <f>SUM(L72:P72)</f>
        <v>6769028.9801541558</v>
      </c>
      <c r="L72" s="25">
        <f>L68*L15+L69+L70*(1+$H$16)*(1+$H$17)</f>
        <v>0</v>
      </c>
      <c r="M72" s="25">
        <f>M68*M15+M69+M70*(1+$H$16)*(1+$H$17)</f>
        <v>3852553.9824208794</v>
      </c>
      <c r="N72" s="25">
        <f>N68*N15+N69+N70*(1+$H$16)*(1+$H$17)</f>
        <v>804583.86316887254</v>
      </c>
      <c r="O72" s="25">
        <f>O68*O15+O69+O70*(1+$H$16)*(1+$H$17)</f>
        <v>2065063.9871836868</v>
      </c>
      <c r="P72" s="25">
        <f>P68*P15+P69+P70*(1+$H$16)*(1+$H$17)</f>
        <v>46827.147380716531</v>
      </c>
      <c r="U72" s="161"/>
      <c r="V72" s="23"/>
    </row>
    <row r="73" spans="2:22" x14ac:dyDescent="0.2">
      <c r="B73" s="2" t="s">
        <v>542</v>
      </c>
      <c r="F73" s="2" t="s">
        <v>543</v>
      </c>
      <c r="L73" s="91">
        <f>L72/L31</f>
        <v>0</v>
      </c>
      <c r="M73" s="91">
        <f>M72/M31</f>
        <v>36.375187678668695</v>
      </c>
      <c r="N73" s="91">
        <f>N72/N31</f>
        <v>0.34964075415836721</v>
      </c>
      <c r="O73" s="91">
        <f>O72/O31</f>
        <v>668.7178084210683</v>
      </c>
      <c r="P73" s="91">
        <f>P72/P31</f>
        <v>2.9612133544576804</v>
      </c>
      <c r="U73" s="161"/>
      <c r="V73" s="23"/>
    </row>
    <row r="74" spans="2:22" x14ac:dyDescent="0.2">
      <c r="L74" s="167"/>
      <c r="M74" s="167"/>
      <c r="N74" s="167"/>
      <c r="O74" s="167"/>
      <c r="P74" s="167"/>
      <c r="U74" s="161"/>
      <c r="V74" s="23"/>
    </row>
    <row r="75" spans="2:22" x14ac:dyDescent="0.2">
      <c r="B75" s="1" t="s">
        <v>544</v>
      </c>
      <c r="M75" s="115"/>
      <c r="U75" s="161"/>
      <c r="V75" s="23"/>
    </row>
    <row r="76" spans="2:22" x14ac:dyDescent="0.2">
      <c r="B76" s="2" t="s">
        <v>545</v>
      </c>
      <c r="F76" s="2" t="s">
        <v>149</v>
      </c>
      <c r="J76" s="97">
        <f>SUM(L76:P76)</f>
        <v>30398401.623888437</v>
      </c>
      <c r="L76" s="25">
        <f t="shared" ref="L76:P77" si="2">L20-L68</f>
        <v>364453.89301103319</v>
      </c>
      <c r="M76" s="25">
        <f t="shared" si="2"/>
        <v>19037732.555612493</v>
      </c>
      <c r="N76" s="25">
        <f t="shared" si="2"/>
        <v>2735273.1734040701</v>
      </c>
      <c r="O76" s="25">
        <f t="shared" si="2"/>
        <v>8252786.2050509611</v>
      </c>
      <c r="P76" s="25">
        <f t="shared" si="2"/>
        <v>8155.7968098768906</v>
      </c>
      <c r="U76" s="161"/>
      <c r="V76" s="23"/>
    </row>
    <row r="77" spans="2:22" x14ac:dyDescent="0.2">
      <c r="B77" s="2" t="s">
        <v>546</v>
      </c>
      <c r="F77" s="2" t="s">
        <v>149</v>
      </c>
      <c r="J77" s="97">
        <f>SUM(L77:P77)</f>
        <v>2907331.4226887273</v>
      </c>
      <c r="L77" s="25">
        <f t="shared" si="2"/>
        <v>59348.898891860561</v>
      </c>
      <c r="M77" s="25">
        <f t="shared" si="2"/>
        <v>1475903.5816457013</v>
      </c>
      <c r="N77" s="25">
        <f t="shared" si="2"/>
        <v>281494.54088774108</v>
      </c>
      <c r="O77" s="25">
        <f t="shared" si="2"/>
        <v>1061307.1452605638</v>
      </c>
      <c r="P77" s="25">
        <f t="shared" si="2"/>
        <v>29277.256002859933</v>
      </c>
      <c r="U77" s="161"/>
      <c r="V77" s="23"/>
    </row>
    <row r="78" spans="2:22" x14ac:dyDescent="0.2">
      <c r="B78" s="2" t="s">
        <v>547</v>
      </c>
      <c r="F78" s="2" t="s">
        <v>149</v>
      </c>
      <c r="J78" s="97">
        <f>SUM(L78:P78)</f>
        <v>13516570.292407874</v>
      </c>
      <c r="L78" s="25">
        <f>L22-L70+L54+L62</f>
        <v>77559.257061504759</v>
      </c>
      <c r="M78" s="25">
        <f>M22-M70+M54+M62</f>
        <v>8586251.9192129876</v>
      </c>
      <c r="N78" s="25">
        <f>N22-N70+N54+N62</f>
        <v>1767657.1315514212</v>
      </c>
      <c r="O78" s="25">
        <f>O22-O70+O54+O62</f>
        <v>2981492.7080524927</v>
      </c>
      <c r="P78" s="25">
        <f>P22-P70+P54+P62</f>
        <v>103609.27652946454</v>
      </c>
      <c r="U78" s="161"/>
      <c r="V78" s="23"/>
    </row>
    <row r="79" spans="2:22" x14ac:dyDescent="0.2">
      <c r="J79" s="166"/>
      <c r="L79" s="161"/>
      <c r="M79" s="161"/>
      <c r="N79" s="161"/>
      <c r="O79" s="161"/>
      <c r="P79" s="161"/>
      <c r="U79" s="161"/>
      <c r="V79" s="162"/>
    </row>
    <row r="80" spans="2:22" x14ac:dyDescent="0.2">
      <c r="B80" s="2" t="s">
        <v>739</v>
      </c>
      <c r="F80" s="2" t="s">
        <v>380</v>
      </c>
      <c r="J80" s="97">
        <f t="shared" ref="J80:J81" si="3">SUM(L80:P80)</f>
        <v>2676964.627621328</v>
      </c>
      <c r="L80" s="25">
        <f>L41+L53+L59</f>
        <v>1291.2525954193413</v>
      </c>
      <c r="M80" s="25">
        <f t="shared" ref="M80:P80" si="4">M41+M53+M59</f>
        <v>177804.62532068597</v>
      </c>
      <c r="N80" s="25">
        <f t="shared" si="4"/>
        <v>2445775.3288233611</v>
      </c>
      <c r="O80" s="25">
        <f t="shared" si="4"/>
        <v>52093.420881861224</v>
      </c>
      <c r="P80" s="25">
        <f t="shared" si="4"/>
        <v>0</v>
      </c>
      <c r="T80" s="2" t="s">
        <v>554</v>
      </c>
      <c r="U80" s="161"/>
      <c r="V80" s="23"/>
    </row>
    <row r="81" spans="2:22" x14ac:dyDescent="0.2">
      <c r="B81" s="2" t="s">
        <v>740</v>
      </c>
      <c r="F81" s="2" t="s">
        <v>380</v>
      </c>
      <c r="J81" s="97">
        <f t="shared" si="3"/>
        <v>550134.41999999993</v>
      </c>
      <c r="L81" s="25">
        <f>L54+L62</f>
        <v>1915.9221</v>
      </c>
      <c r="M81" s="25">
        <f>M54+M62</f>
        <v>287510.60789999994</v>
      </c>
      <c r="N81" s="25">
        <f>N54+N62</f>
        <v>182718.53075322928</v>
      </c>
      <c r="O81" s="25">
        <f>O54+O62</f>
        <v>77989.359246770735</v>
      </c>
      <c r="P81" s="25">
        <f>P54+P62</f>
        <v>0</v>
      </c>
      <c r="T81" s="2" t="s">
        <v>555</v>
      </c>
      <c r="V81" s="165"/>
    </row>
    <row r="82" spans="2:22" x14ac:dyDescent="0.2">
      <c r="V82" s="165"/>
    </row>
    <row r="83" spans="2:22" x14ac:dyDescent="0.2">
      <c r="B83" s="2" t="s">
        <v>548</v>
      </c>
      <c r="F83" s="2" t="s">
        <v>380</v>
      </c>
      <c r="J83" s="97">
        <f>SUM(L83:P83)</f>
        <v>23246417.400895439</v>
      </c>
      <c r="L83" s="25">
        <f>L76*L15+L77+L78*(1+$H$16)*(1+$H$17)+L80+L81</f>
        <v>172087.57172068526</v>
      </c>
      <c r="M83" s="25">
        <f>M76*M15+M77+M78*(1+$H$16)*(1+$H$17)+M80+M81</f>
        <v>12549514.204825124</v>
      </c>
      <c r="N83" s="21">
        <f>N76*N15+N77+N78*(1+$H$16)*(1+$H$17)+N80+N81+N46</f>
        <v>5356734.1557884039</v>
      </c>
      <c r="O83" s="25">
        <f>O76*O15+O77+O78*(1+$H$16)*(1+$H$17)+O80+O81</f>
        <v>5023415.1688934201</v>
      </c>
      <c r="P83" s="25">
        <f>P76*P15+P77+P78*(1+$H$16)*(1+$H$17)+P80+P81</f>
        <v>144666.29966780459</v>
      </c>
      <c r="V83" s="165"/>
    </row>
    <row r="84" spans="2:22" x14ac:dyDescent="0.2">
      <c r="N84" s="115"/>
    </row>
    <row r="85" spans="2:22" x14ac:dyDescent="0.2">
      <c r="N85" s="115"/>
    </row>
    <row r="86" spans="2:22" s="7" customFormat="1" x14ac:dyDescent="0.2">
      <c r="B86" s="7" t="s">
        <v>549</v>
      </c>
    </row>
    <row r="88" spans="2:22" x14ac:dyDescent="0.2">
      <c r="B88" s="1" t="s">
        <v>549</v>
      </c>
    </row>
    <row r="89" spans="2:22" x14ac:dyDescent="0.2">
      <c r="B89" s="2" t="s">
        <v>233</v>
      </c>
      <c r="F89" s="2" t="s">
        <v>234</v>
      </c>
      <c r="L89" s="13" t="s">
        <v>153</v>
      </c>
      <c r="M89" s="13" t="s">
        <v>155</v>
      </c>
      <c r="N89" s="13" t="s">
        <v>171</v>
      </c>
      <c r="O89" s="13" t="s">
        <v>175</v>
      </c>
      <c r="P89" s="13" t="s">
        <v>171</v>
      </c>
    </row>
    <row r="90" spans="2:22" x14ac:dyDescent="0.2">
      <c r="B90" s="2" t="s">
        <v>550</v>
      </c>
      <c r="F90" s="2" t="s">
        <v>225</v>
      </c>
      <c r="L90" s="24">
        <f>'Gegevens raming 2024'!L82</f>
        <v>231464</v>
      </c>
      <c r="M90" s="24">
        <f>'Gegevens raming 2024'!M82</f>
        <v>111393.2529761905</v>
      </c>
      <c r="N90" s="24">
        <f>'Gegevens raming 2024'!N82</f>
        <v>2643315</v>
      </c>
      <c r="O90" s="24">
        <f>'Gegevens raming 2024'!O82</f>
        <v>3259.9375</v>
      </c>
      <c r="P90" s="24">
        <f>'Gegevens raming 2024'!P82</f>
        <v>15813.5</v>
      </c>
    </row>
    <row r="91" spans="2:22" x14ac:dyDescent="0.2">
      <c r="B91" s="2" t="s">
        <v>551</v>
      </c>
      <c r="F91" s="2" t="s">
        <v>380</v>
      </c>
      <c r="J91" s="97">
        <f>SUM(L91:P91)</f>
        <v>7202966.5411948469</v>
      </c>
      <c r="L91" s="25">
        <f>L73*L90</f>
        <v>0</v>
      </c>
      <c r="M91" s="25">
        <f>M73*M90</f>
        <v>4051950.4831463499</v>
      </c>
      <c r="N91" s="25">
        <f>N73*N90</f>
        <v>924210.65007812437</v>
      </c>
      <c r="O91" s="25">
        <f>O73*O90</f>
        <v>2179978.2605896564</v>
      </c>
      <c r="P91" s="25">
        <f>P73*P90</f>
        <v>46827.147380716531</v>
      </c>
    </row>
    <row r="92" spans="2:22" x14ac:dyDescent="0.2">
      <c r="B92" s="2" t="s">
        <v>552</v>
      </c>
      <c r="F92" s="2" t="s">
        <v>380</v>
      </c>
      <c r="J92" s="97">
        <f>SUM(L92:P92)</f>
        <v>30449383.942090288</v>
      </c>
      <c r="L92" s="19">
        <f>L83+L91</f>
        <v>172087.57172068526</v>
      </c>
      <c r="M92" s="19">
        <f>M83+M91</f>
        <v>16601464.687971473</v>
      </c>
      <c r="N92" s="19">
        <f>N83+N91</f>
        <v>6280944.8058665283</v>
      </c>
      <c r="O92" s="19">
        <f>O83+O91</f>
        <v>7203393.4294830766</v>
      </c>
      <c r="P92" s="19">
        <f>P83+P91</f>
        <v>191493.44704852114</v>
      </c>
    </row>
    <row r="97" spans="2:2" x14ac:dyDescent="0.2">
      <c r="B97" s="3" t="s">
        <v>58</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8E1F0-4030-47E0-9D15-A8E3A621D0E2}">
  <sheetPr>
    <tabColor rgb="FFCCC8D9"/>
  </sheetPr>
  <dimension ref="B2:H43"/>
  <sheetViews>
    <sheetView showGridLines="0" zoomScale="85" zoomScaleNormal="85" workbookViewId="0">
      <pane ySplit="3" topLeftCell="A4" activePane="bottomLeft" state="frozen"/>
      <selection activeCell="A4" sqref="A4"/>
      <selection pane="bottomLeft"/>
    </sheetView>
  </sheetViews>
  <sheetFormatPr defaultRowHeight="12.75" x14ac:dyDescent="0.2"/>
  <cols>
    <col min="1" max="1" width="5.7109375" style="2" customWidth="1"/>
    <col min="2" max="2" width="35.28515625" style="2" customWidth="1"/>
    <col min="3" max="3" width="2.7109375" style="2" customWidth="1"/>
    <col min="4" max="4" width="86.140625" style="2" customWidth="1"/>
    <col min="5" max="5" width="29.85546875" style="2" customWidth="1"/>
    <col min="6" max="6" width="24.7109375" style="2" customWidth="1"/>
    <col min="7" max="7" width="37.28515625" style="2" customWidth="1"/>
    <col min="8" max="16384" width="9.140625" style="2"/>
  </cols>
  <sheetData>
    <row r="2" spans="2:8" s="6" customFormat="1" ht="18" x14ac:dyDescent="0.2">
      <c r="B2" s="6" t="s">
        <v>41</v>
      </c>
    </row>
    <row r="5" spans="2:8" s="7" customFormat="1" x14ac:dyDescent="0.2">
      <c r="B5" s="7" t="s">
        <v>9</v>
      </c>
    </row>
    <row r="7" spans="2:8" x14ac:dyDescent="0.2">
      <c r="B7" s="2" t="s">
        <v>366</v>
      </c>
    </row>
    <row r="8" spans="2:8" x14ac:dyDescent="0.2">
      <c r="B8" s="2" t="s">
        <v>70</v>
      </c>
      <c r="G8" s="11"/>
      <c r="H8" s="30"/>
    </row>
    <row r="9" spans="2:8" x14ac:dyDescent="0.2">
      <c r="B9" s="2" t="s">
        <v>71</v>
      </c>
      <c r="H9" s="20"/>
    </row>
    <row r="10" spans="2:8" x14ac:dyDescent="0.2">
      <c r="B10" s="11"/>
    </row>
    <row r="11" spans="2:8" x14ac:dyDescent="0.2">
      <c r="B11" s="2" t="s">
        <v>367</v>
      </c>
      <c r="G11" s="11"/>
    </row>
    <row r="12" spans="2:8" x14ac:dyDescent="0.2">
      <c r="B12" s="11"/>
    </row>
    <row r="14" spans="2:8" s="7" customFormat="1" x14ac:dyDescent="0.2">
      <c r="B14" s="7" t="s">
        <v>10</v>
      </c>
    </row>
    <row r="16" spans="2:8" x14ac:dyDescent="0.2">
      <c r="B16" s="17" t="s">
        <v>30</v>
      </c>
      <c r="D16" s="17" t="s">
        <v>11</v>
      </c>
      <c r="F16" s="4"/>
    </row>
    <row r="18" spans="2:6" x14ac:dyDescent="0.2">
      <c r="B18" s="22">
        <v>123</v>
      </c>
      <c r="D18" s="2" t="s">
        <v>50</v>
      </c>
    </row>
    <row r="19" spans="2:6" x14ac:dyDescent="0.2">
      <c r="B19" s="24">
        <f>B18</f>
        <v>123</v>
      </c>
      <c r="D19" s="2" t="s">
        <v>12</v>
      </c>
    </row>
    <row r="20" spans="2:6" x14ac:dyDescent="0.2">
      <c r="B20" s="25">
        <f>B19+B18</f>
        <v>246</v>
      </c>
      <c r="D20" s="2" t="s">
        <v>13</v>
      </c>
    </row>
    <row r="21" spans="2:6" x14ac:dyDescent="0.2">
      <c r="B21" s="19">
        <f>B19+B20</f>
        <v>369</v>
      </c>
      <c r="D21" s="2" t="s">
        <v>51</v>
      </c>
      <c r="E21" s="4"/>
      <c r="F21" s="4"/>
    </row>
    <row r="22" spans="2:6" x14ac:dyDescent="0.2">
      <c r="B22" s="27"/>
      <c r="D22" s="2" t="s">
        <v>14</v>
      </c>
      <c r="E22" s="4"/>
    </row>
    <row r="24" spans="2:6" x14ac:dyDescent="0.2">
      <c r="B24" s="18" t="s">
        <v>15</v>
      </c>
    </row>
    <row r="25" spans="2:6" x14ac:dyDescent="0.2">
      <c r="B25" s="21">
        <f>B21+16</f>
        <v>385</v>
      </c>
      <c r="D25" s="2" t="s">
        <v>64</v>
      </c>
    </row>
    <row r="26" spans="2:6" x14ac:dyDescent="0.2">
      <c r="B26" s="9"/>
      <c r="C26" s="9"/>
    </row>
    <row r="28" spans="2:6" x14ac:dyDescent="0.2">
      <c r="B28" s="17" t="s">
        <v>26</v>
      </c>
    </row>
    <row r="29" spans="2:6" x14ac:dyDescent="0.2">
      <c r="B29" s="1"/>
    </row>
    <row r="30" spans="2:6" x14ac:dyDescent="0.2">
      <c r="B30" s="18" t="s">
        <v>31</v>
      </c>
    </row>
    <row r="31" spans="2:6" x14ac:dyDescent="0.2">
      <c r="B31" s="19" t="s">
        <v>25</v>
      </c>
      <c r="D31" s="2" t="s">
        <v>34</v>
      </c>
    </row>
    <row r="32" spans="2:6" x14ac:dyDescent="0.2">
      <c r="B32" s="22" t="s">
        <v>23</v>
      </c>
      <c r="D32" s="2" t="s">
        <v>27</v>
      </c>
    </row>
    <row r="33" spans="2:4" x14ac:dyDescent="0.2">
      <c r="B33" s="25" t="s">
        <v>24</v>
      </c>
      <c r="D33" s="2" t="s">
        <v>28</v>
      </c>
    </row>
    <row r="35" spans="2:4" x14ac:dyDescent="0.2">
      <c r="B35" s="18" t="s">
        <v>33</v>
      </c>
    </row>
    <row r="36" spans="2:4" x14ac:dyDescent="0.2">
      <c r="B36" s="14" t="s">
        <v>29</v>
      </c>
      <c r="D36" s="2" t="s">
        <v>35</v>
      </c>
    </row>
    <row r="37" spans="2:4" x14ac:dyDescent="0.2">
      <c r="B37" s="31" t="s">
        <v>32</v>
      </c>
      <c r="D37" s="2" t="s">
        <v>52</v>
      </c>
    </row>
    <row r="43" spans="2:4" x14ac:dyDescent="0.2">
      <c r="B43" s="18" t="s">
        <v>58</v>
      </c>
    </row>
  </sheetData>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731A-3BA5-4114-A463-5C7BB395CD3D}">
  <sheetPr>
    <tabColor rgb="FFFFFFCC"/>
  </sheetPr>
  <dimension ref="A2:L47"/>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sheetView>
  </sheetViews>
  <sheetFormatPr defaultRowHeight="12.75" x14ac:dyDescent="0.2"/>
  <cols>
    <col min="1" max="1" width="4.7109375" style="2" customWidth="1"/>
    <col min="2" max="2" width="69"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10" customFormat="1" ht="18" x14ac:dyDescent="0.2">
      <c r="B2" s="10" t="s">
        <v>573</v>
      </c>
    </row>
    <row r="4" spans="2:10" x14ac:dyDescent="0.2">
      <c r="B4" s="17" t="s">
        <v>44</v>
      </c>
      <c r="C4" s="1"/>
      <c r="D4" s="1"/>
    </row>
    <row r="5" spans="2:10" x14ac:dyDescent="0.2">
      <c r="B5" s="2" t="s">
        <v>594</v>
      </c>
      <c r="H5" s="11"/>
    </row>
    <row r="6" spans="2:10" x14ac:dyDescent="0.2">
      <c r="B6" s="2" t="s">
        <v>556</v>
      </c>
    </row>
    <row r="8" spans="2:10" s="7" customFormat="1" x14ac:dyDescent="0.2">
      <c r="B8" s="7" t="s">
        <v>36</v>
      </c>
      <c r="F8" s="7" t="s">
        <v>19</v>
      </c>
      <c r="H8" s="7" t="s">
        <v>20</v>
      </c>
      <c r="J8" s="7" t="s">
        <v>38</v>
      </c>
    </row>
    <row r="11" spans="2:10" s="7" customFormat="1" x14ac:dyDescent="0.2">
      <c r="B11" s="7" t="s">
        <v>321</v>
      </c>
    </row>
    <row r="13" spans="2:10" x14ac:dyDescent="0.2">
      <c r="B13" s="1" t="s">
        <v>557</v>
      </c>
    </row>
    <row r="14" spans="2:10" x14ac:dyDescent="0.2">
      <c r="B14" s="2" t="s">
        <v>558</v>
      </c>
      <c r="F14" s="2" t="s">
        <v>380</v>
      </c>
      <c r="H14" s="24">
        <f>'Berekening kostenbasis 2024'!L92</f>
        <v>172087.57172068526</v>
      </c>
    </row>
    <row r="16" spans="2:10" x14ac:dyDescent="0.2">
      <c r="B16" s="2" t="s">
        <v>559</v>
      </c>
      <c r="F16" s="2" t="s">
        <v>153</v>
      </c>
      <c r="H16" s="24">
        <f>'Gegevens raming 2024'!L82</f>
        <v>231464</v>
      </c>
      <c r="J16" s="2" t="s">
        <v>571</v>
      </c>
    </row>
    <row r="17" spans="1:12" x14ac:dyDescent="0.2">
      <c r="B17" s="2" t="s">
        <v>560</v>
      </c>
      <c r="F17" s="2" t="s">
        <v>372</v>
      </c>
      <c r="H17" s="140">
        <f>H14/H16</f>
        <v>0.74347445702435477</v>
      </c>
      <c r="J17" s="2" t="s">
        <v>572</v>
      </c>
    </row>
    <row r="18" spans="1:12" x14ac:dyDescent="0.2">
      <c r="B18" s="2" t="s">
        <v>561</v>
      </c>
      <c r="F18" s="2" t="s">
        <v>372</v>
      </c>
      <c r="H18" s="143">
        <f>ROUND(H17,4)</f>
        <v>0.74350000000000005</v>
      </c>
    </row>
    <row r="20" spans="1:12" x14ac:dyDescent="0.2">
      <c r="B20" s="1" t="s">
        <v>562</v>
      </c>
    </row>
    <row r="21" spans="1:12" x14ac:dyDescent="0.2">
      <c r="B21" s="2" t="s">
        <v>563</v>
      </c>
      <c r="F21" s="2" t="s">
        <v>153</v>
      </c>
      <c r="H21" s="24">
        <f>'Gegevens raming 2024'!L19</f>
        <v>147882686</v>
      </c>
    </row>
    <row r="22" spans="1:12" x14ac:dyDescent="0.2">
      <c r="B22" s="2" t="s">
        <v>564</v>
      </c>
      <c r="F22" s="2" t="s">
        <v>372</v>
      </c>
      <c r="H22" s="176">
        <f>'Gegevens raming 2024'!L18</f>
        <v>0.33860000000000001</v>
      </c>
      <c r="L22" s="134"/>
    </row>
    <row r="24" spans="1:12" x14ac:dyDescent="0.2">
      <c r="A24" s="175"/>
      <c r="B24" s="2" t="s">
        <v>373</v>
      </c>
      <c r="F24" s="2" t="s">
        <v>372</v>
      </c>
      <c r="H24" s="143">
        <f>(H18*H16+H22*H21)/(H16+H21)</f>
        <v>0.33923275368086037</v>
      </c>
      <c r="L24" s="134"/>
    </row>
    <row r="25" spans="1:12" x14ac:dyDescent="0.2">
      <c r="B25" s="2" t="s">
        <v>565</v>
      </c>
      <c r="F25" s="2" t="s">
        <v>153</v>
      </c>
      <c r="H25" s="25">
        <f>H21+H16</f>
        <v>148114150</v>
      </c>
    </row>
    <row r="28" spans="1:12" s="7" customFormat="1" x14ac:dyDescent="0.2">
      <c r="B28" s="7" t="s">
        <v>322</v>
      </c>
    </row>
    <row r="30" spans="1:12" x14ac:dyDescent="0.2">
      <c r="B30" s="1" t="s">
        <v>566</v>
      </c>
    </row>
    <row r="31" spans="1:12" x14ac:dyDescent="0.2">
      <c r="B31" s="2" t="s">
        <v>567</v>
      </c>
      <c r="F31" s="2" t="s">
        <v>380</v>
      </c>
      <c r="H31" s="24">
        <f>'Totaaloverzicht correcties'!M82</f>
        <v>-6124.1275155871408</v>
      </c>
    </row>
    <row r="32" spans="1:12" x14ac:dyDescent="0.2">
      <c r="B32" s="2" t="s">
        <v>401</v>
      </c>
      <c r="F32" s="2" t="s">
        <v>380</v>
      </c>
      <c r="H32" s="24">
        <f>'Totaaloverzicht correcties'!M83</f>
        <v>-971702.09708008263</v>
      </c>
    </row>
    <row r="33" spans="2:12" x14ac:dyDescent="0.2">
      <c r="B33" s="2" t="s">
        <v>471</v>
      </c>
      <c r="F33" s="103" t="s">
        <v>142</v>
      </c>
      <c r="H33" s="144">
        <f>'Gegevens raming 2024'!L21</f>
        <v>0.48457129668392435</v>
      </c>
    </row>
    <row r="35" spans="2:12" x14ac:dyDescent="0.2">
      <c r="B35" s="2" t="s">
        <v>568</v>
      </c>
      <c r="F35" s="2" t="s">
        <v>372</v>
      </c>
      <c r="H35" s="133">
        <f>H31/H25</f>
        <v>-4.1347349430065533E-5</v>
      </c>
      <c r="J35" s="38" t="s">
        <v>574</v>
      </c>
    </row>
    <row r="36" spans="2:12" x14ac:dyDescent="0.2">
      <c r="B36" s="2" t="s">
        <v>569</v>
      </c>
      <c r="F36" s="2" t="s">
        <v>372</v>
      </c>
      <c r="H36" s="133">
        <f>+H32/(H25*H33)</f>
        <v>-1.3538760450144578E-2</v>
      </c>
      <c r="J36" s="38" t="s">
        <v>575</v>
      </c>
    </row>
    <row r="38" spans="2:12" x14ac:dyDescent="0.2">
      <c r="B38" s="2" t="s">
        <v>323</v>
      </c>
      <c r="F38" s="2" t="s">
        <v>372</v>
      </c>
      <c r="H38" s="133">
        <f>H24+H35+H36</f>
        <v>0.32565264588128573</v>
      </c>
      <c r="J38" s="38" t="s">
        <v>576</v>
      </c>
    </row>
    <row r="40" spans="2:12" x14ac:dyDescent="0.2">
      <c r="B40" s="2" t="s">
        <v>324</v>
      </c>
      <c r="F40" s="2" t="s">
        <v>142</v>
      </c>
      <c r="H40" s="144">
        <f>'Gegevens raming 2024'!M35</f>
        <v>8.9168918694288099E-2</v>
      </c>
    </row>
    <row r="42" spans="2:12" x14ac:dyDescent="0.2">
      <c r="B42" s="2" t="s">
        <v>376</v>
      </c>
      <c r="F42" s="2" t="s">
        <v>372</v>
      </c>
      <c r="H42" s="140">
        <f>H38/(1-H40)</f>
        <v>0.35753352357546908</v>
      </c>
    </row>
    <row r="43" spans="2:12" x14ac:dyDescent="0.2">
      <c r="B43" s="2" t="s">
        <v>570</v>
      </c>
      <c r="F43" s="2" t="s">
        <v>372</v>
      </c>
      <c r="H43" s="143">
        <f>ROUND(H42,4)</f>
        <v>0.35749999999999998</v>
      </c>
      <c r="J43" s="173"/>
      <c r="L43" s="174"/>
    </row>
    <row r="44" spans="2:12" x14ac:dyDescent="0.2">
      <c r="H44" s="38"/>
    </row>
    <row r="46" spans="2:12" x14ac:dyDescent="0.2">
      <c r="H46" s="145"/>
    </row>
    <row r="47" spans="2:12" x14ac:dyDescent="0.2">
      <c r="B47" s="3" t="s">
        <v>58</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B0330-DEA1-418E-AC7E-17F4B3F7FD64}">
  <sheetPr>
    <tabColor rgb="FFFFFFCC"/>
  </sheetPr>
  <dimension ref="B2:Q63"/>
  <sheetViews>
    <sheetView showGridLines="0" zoomScale="85" zoomScaleNormal="85" workbookViewId="0">
      <pane xSplit="6" ySplit="10" topLeftCell="G11" activePane="bottomRight" state="frozen"/>
      <selection activeCell="A4" sqref="A4"/>
      <selection pane="topRight" activeCell="A4" sqref="A4"/>
      <selection pane="bottomLeft" activeCell="A4" sqref="A4"/>
      <selection pane="bottomRight"/>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10" customFormat="1" ht="18" x14ac:dyDescent="0.2">
      <c r="B2" s="10" t="s">
        <v>578</v>
      </c>
    </row>
    <row r="4" spans="2:10" x14ac:dyDescent="0.2">
      <c r="B4" s="17" t="s">
        <v>44</v>
      </c>
      <c r="C4" s="1"/>
      <c r="D4" s="1"/>
    </row>
    <row r="5" spans="2:10" x14ac:dyDescent="0.2">
      <c r="B5" s="2" t="s">
        <v>577</v>
      </c>
      <c r="H5" s="11"/>
    </row>
    <row r="6" spans="2:10" x14ac:dyDescent="0.2">
      <c r="B6" s="2" t="s">
        <v>325</v>
      </c>
    </row>
    <row r="9" spans="2:10" s="7" customFormat="1" x14ac:dyDescent="0.2">
      <c r="B9" s="7" t="s">
        <v>36</v>
      </c>
      <c r="F9" s="7" t="s">
        <v>19</v>
      </c>
      <c r="H9" s="7" t="s">
        <v>20</v>
      </c>
      <c r="J9" s="7" t="s">
        <v>38</v>
      </c>
    </row>
    <row r="12" spans="2:10" s="7" customFormat="1" x14ac:dyDescent="0.2">
      <c r="B12" s="7" t="s">
        <v>141</v>
      </c>
    </row>
    <row r="14" spans="2:10" x14ac:dyDescent="0.2">
      <c r="B14" s="2" t="s">
        <v>390</v>
      </c>
      <c r="F14" s="2" t="s">
        <v>142</v>
      </c>
      <c r="H14" s="118">
        <f>Parameters!H30</f>
        <v>1.9E-2</v>
      </c>
    </row>
    <row r="16" spans="2:10" s="7" customFormat="1" x14ac:dyDescent="0.2">
      <c r="B16" s="7" t="s">
        <v>581</v>
      </c>
    </row>
    <row r="18" spans="2:12" x14ac:dyDescent="0.2">
      <c r="B18" s="1" t="s">
        <v>326</v>
      </c>
    </row>
    <row r="19" spans="2:12" x14ac:dyDescent="0.2">
      <c r="B19" s="2" t="s">
        <v>587</v>
      </c>
      <c r="F19" s="2" t="s">
        <v>380</v>
      </c>
      <c r="H19" s="24">
        <f>'Berekening kostenbasis 2024'!M92</f>
        <v>16601464.687971473</v>
      </c>
      <c r="J19" s="163"/>
    </row>
    <row r="20" spans="2:12" x14ac:dyDescent="0.2">
      <c r="B20" s="2" t="s">
        <v>151</v>
      </c>
      <c r="F20" s="2" t="s">
        <v>380</v>
      </c>
      <c r="H20" s="24">
        <f>'Totaaloverzicht correcties'!M84</f>
        <v>1094792.51421124</v>
      </c>
      <c r="J20" s="163"/>
    </row>
    <row r="21" spans="2:12" x14ac:dyDescent="0.2">
      <c r="B21" s="2" t="s">
        <v>582</v>
      </c>
      <c r="F21" s="2" t="s">
        <v>380</v>
      </c>
      <c r="H21" s="25">
        <f>H19+H20</f>
        <v>17696257.202182714</v>
      </c>
      <c r="J21" s="161"/>
    </row>
    <row r="23" spans="2:12" x14ac:dyDescent="0.2">
      <c r="B23" s="2" t="s">
        <v>583</v>
      </c>
      <c r="F23" s="2" t="s">
        <v>155</v>
      </c>
      <c r="H23" s="24">
        <f>'Gegevens raming 2024'!M82</f>
        <v>111393.2529761905</v>
      </c>
      <c r="J23" s="163"/>
    </row>
    <row r="24" spans="2:12" x14ac:dyDescent="0.2">
      <c r="B24" s="2" t="s">
        <v>584</v>
      </c>
      <c r="F24" s="2" t="s">
        <v>586</v>
      </c>
      <c r="H24" s="146">
        <f>H21/H23/12</f>
        <v>13.238576491675817</v>
      </c>
      <c r="J24" s="39"/>
    </row>
    <row r="26" spans="2:12" x14ac:dyDescent="0.2">
      <c r="B26" s="1" t="s">
        <v>327</v>
      </c>
    </row>
    <row r="27" spans="2:12" ht="25.5" x14ac:dyDescent="0.2">
      <c r="B27" s="108" t="s">
        <v>102</v>
      </c>
      <c r="C27" s="109" t="s">
        <v>224</v>
      </c>
      <c r="H27" s="115"/>
      <c r="J27" s="11"/>
      <c r="L27" s="38"/>
    </row>
    <row r="28" spans="2:12" x14ac:dyDescent="0.2">
      <c r="B28" s="2" t="s">
        <v>104</v>
      </c>
      <c r="C28" s="147">
        <f>'Gegevens raming 2024'!C49</f>
        <v>3.1</v>
      </c>
      <c r="F28" s="2" t="s">
        <v>585</v>
      </c>
      <c r="H28" s="177">
        <f t="shared" ref="H28:H40" si="0">C28*$H$24</f>
        <v>41.03958712419503</v>
      </c>
    </row>
    <row r="29" spans="2:12" x14ac:dyDescent="0.2">
      <c r="B29" s="2" t="s">
        <v>105</v>
      </c>
      <c r="C29" s="147">
        <f>'Gegevens raming 2024'!C50</f>
        <v>4.4000000000000004</v>
      </c>
      <c r="F29" s="2" t="s">
        <v>585</v>
      </c>
      <c r="H29" s="148">
        <f t="shared" si="0"/>
        <v>58.249736563373595</v>
      </c>
    </row>
    <row r="30" spans="2:12" x14ac:dyDescent="0.2">
      <c r="B30" s="2" t="s">
        <v>106</v>
      </c>
      <c r="C30" s="147">
        <f>'Gegevens raming 2024'!C51</f>
        <v>4.4000000000000004</v>
      </c>
      <c r="F30" s="2" t="s">
        <v>585</v>
      </c>
      <c r="H30" s="148">
        <f t="shared" si="0"/>
        <v>58.249736563373595</v>
      </c>
    </row>
    <row r="31" spans="2:12" x14ac:dyDescent="0.2">
      <c r="B31" s="2" t="s">
        <v>107</v>
      </c>
      <c r="C31" s="147">
        <f>'Gegevens raming 2024'!C52</f>
        <v>11.4</v>
      </c>
      <c r="F31" s="2" t="s">
        <v>585</v>
      </c>
      <c r="H31" s="148">
        <f t="shared" si="0"/>
        <v>150.91977200510431</v>
      </c>
    </row>
    <row r="32" spans="2:12" x14ac:dyDescent="0.2">
      <c r="B32" s="2" t="s">
        <v>108</v>
      </c>
      <c r="C32" s="147">
        <f>'Gegevens raming 2024'!C53</f>
        <v>19.2</v>
      </c>
      <c r="F32" s="2" t="s">
        <v>585</v>
      </c>
      <c r="H32" s="148">
        <f t="shared" si="0"/>
        <v>254.18066864017567</v>
      </c>
    </row>
    <row r="33" spans="2:17" x14ac:dyDescent="0.2">
      <c r="B33" s="2" t="s">
        <v>109</v>
      </c>
      <c r="C33" s="147">
        <f>'Gegevens raming 2024'!C54</f>
        <v>30.4</v>
      </c>
      <c r="F33" s="2" t="s">
        <v>585</v>
      </c>
      <c r="H33" s="148">
        <f t="shared" si="0"/>
        <v>402.45272534694482</v>
      </c>
    </row>
    <row r="34" spans="2:17" x14ac:dyDescent="0.2">
      <c r="B34" s="2" t="s">
        <v>110</v>
      </c>
      <c r="C34" s="147">
        <f>'Gegevens raming 2024'!C55</f>
        <v>38.1</v>
      </c>
      <c r="F34" s="2" t="s">
        <v>585</v>
      </c>
      <c r="H34" s="148">
        <f t="shared" si="0"/>
        <v>504.38976433284864</v>
      </c>
    </row>
    <row r="35" spans="2:17" x14ac:dyDescent="0.2">
      <c r="B35" s="2" t="s">
        <v>111</v>
      </c>
      <c r="C35" s="147">
        <f>'Gegevens raming 2024'!C56</f>
        <v>47.6</v>
      </c>
      <c r="F35" s="2" t="s">
        <v>585</v>
      </c>
      <c r="H35" s="148">
        <f>C35*$H$24</f>
        <v>630.15624100376886</v>
      </c>
    </row>
    <row r="36" spans="2:17" x14ac:dyDescent="0.2">
      <c r="B36" s="2" t="s">
        <v>112</v>
      </c>
      <c r="C36" s="147">
        <f>'Gegevens raming 2024'!C57</f>
        <v>52.5</v>
      </c>
      <c r="F36" s="2" t="s">
        <v>585</v>
      </c>
      <c r="H36" s="148">
        <f t="shared" ref="H36:H38" si="1">C36*$H$24</f>
        <v>695.02526581298036</v>
      </c>
    </row>
    <row r="37" spans="2:17" x14ac:dyDescent="0.2">
      <c r="B37" s="2" t="s">
        <v>113</v>
      </c>
      <c r="C37" s="147">
        <f>'Gegevens raming 2024'!C58</f>
        <v>60.9</v>
      </c>
      <c r="F37" s="2" t="s">
        <v>585</v>
      </c>
      <c r="H37" s="148">
        <f t="shared" si="1"/>
        <v>806.22930834305726</v>
      </c>
    </row>
    <row r="38" spans="2:17" x14ac:dyDescent="0.2">
      <c r="B38" s="2" t="s">
        <v>114</v>
      </c>
      <c r="C38" s="147">
        <f>'Gegevens raming 2024'!C59</f>
        <v>65.7</v>
      </c>
      <c r="F38" s="2" t="s">
        <v>585</v>
      </c>
      <c r="H38" s="148">
        <f t="shared" si="1"/>
        <v>869.77447550310114</v>
      </c>
    </row>
    <row r="39" spans="2:17" x14ac:dyDescent="0.2">
      <c r="B39" s="2" t="s">
        <v>115</v>
      </c>
      <c r="C39" s="147">
        <f>'Gegevens raming 2024'!C60</f>
        <v>76.099999999999994</v>
      </c>
      <c r="F39" s="2" t="s">
        <v>585</v>
      </c>
      <c r="H39" s="148">
        <f t="shared" si="0"/>
        <v>1007.4556710165295</v>
      </c>
    </row>
    <row r="40" spans="2:17" x14ac:dyDescent="0.2">
      <c r="B40" s="2" t="s">
        <v>328</v>
      </c>
      <c r="C40" s="147">
        <f>'Gegevens raming 2024'!C61</f>
        <v>1</v>
      </c>
      <c r="F40" s="2" t="s">
        <v>586</v>
      </c>
      <c r="H40" s="148">
        <f t="shared" si="0"/>
        <v>13.238576491675817</v>
      </c>
      <c r="J40" s="2" t="s">
        <v>588</v>
      </c>
    </row>
    <row r="43" spans="2:17" s="7" customFormat="1" x14ac:dyDescent="0.2">
      <c r="B43" s="7" t="s">
        <v>100</v>
      </c>
    </row>
    <row r="45" spans="2:17" x14ac:dyDescent="0.2">
      <c r="B45" s="42" t="s">
        <v>329</v>
      </c>
      <c r="F45" s="2" t="s">
        <v>157</v>
      </c>
      <c r="H45" s="119">
        <f>'Gegevens raming 2024'!M37</f>
        <v>208.33333333333334</v>
      </c>
      <c r="Q45" s="115"/>
    </row>
    <row r="46" spans="2:17" x14ac:dyDescent="0.2">
      <c r="B46" s="2" t="s">
        <v>376</v>
      </c>
      <c r="F46" s="2" t="s">
        <v>372</v>
      </c>
      <c r="H46" s="37">
        <f>'Variabel tarief elektriciteit'!H43</f>
        <v>0.35749999999999998</v>
      </c>
      <c r="J46" s="2" t="s">
        <v>330</v>
      </c>
      <c r="P46" s="172"/>
      <c r="Q46" s="134"/>
    </row>
    <row r="47" spans="2:17" x14ac:dyDescent="0.2">
      <c r="B47" s="42" t="s">
        <v>331</v>
      </c>
      <c r="F47" s="2" t="s">
        <v>585</v>
      </c>
      <c r="H47" s="146">
        <f>ROUND(H29,2)</f>
        <v>58.25</v>
      </c>
      <c r="J47" s="2" t="s">
        <v>330</v>
      </c>
    </row>
    <row r="48" spans="2:17" x14ac:dyDescent="0.2">
      <c r="B48" s="2" t="s">
        <v>589</v>
      </c>
      <c r="F48" s="2" t="s">
        <v>372</v>
      </c>
      <c r="H48" s="35">
        <f>ROUND(H46+H47/H45,4)</f>
        <v>0.6371</v>
      </c>
      <c r="J48" s="2" t="s">
        <v>332</v>
      </c>
      <c r="Q48" s="134"/>
    </row>
    <row r="51" spans="2:10" s="7" customFormat="1" x14ac:dyDescent="0.2">
      <c r="B51" s="7" t="s">
        <v>333</v>
      </c>
    </row>
    <row r="53" spans="2:10" x14ac:dyDescent="0.2">
      <c r="B53" s="42" t="s">
        <v>334</v>
      </c>
      <c r="F53" s="2" t="s">
        <v>119</v>
      </c>
      <c r="H53" s="119">
        <f>'Gegevens raming 2024'!M40</f>
        <v>40</v>
      </c>
    </row>
    <row r="54" spans="2:10" x14ac:dyDescent="0.2">
      <c r="B54" s="42" t="s">
        <v>590</v>
      </c>
      <c r="F54" s="2" t="s">
        <v>380</v>
      </c>
      <c r="H54" s="148">
        <f>H53</f>
        <v>40</v>
      </c>
      <c r="J54" s="2" t="s">
        <v>591</v>
      </c>
    </row>
    <row r="56" spans="2:10" x14ac:dyDescent="0.2">
      <c r="B56" s="1" t="s">
        <v>336</v>
      </c>
    </row>
    <row r="57" spans="2:10" x14ac:dyDescent="0.2">
      <c r="B57" s="2" t="s">
        <v>337</v>
      </c>
      <c r="F57" s="2" t="s">
        <v>119</v>
      </c>
      <c r="H57" s="119">
        <f>'Gegevens raming 2024'!M41</f>
        <v>1717.5594042521598</v>
      </c>
    </row>
    <row r="58" spans="2:10" x14ac:dyDescent="0.2">
      <c r="B58" s="2" t="s">
        <v>592</v>
      </c>
      <c r="F58" s="2" t="s">
        <v>380</v>
      </c>
      <c r="H58" s="148">
        <f>H57*(1+$H$14)</f>
        <v>1750.1930329329507</v>
      </c>
      <c r="J58" s="16"/>
    </row>
    <row r="59" spans="2:10" x14ac:dyDescent="0.2">
      <c r="J59" s="16"/>
    </row>
    <row r="60" spans="2:10" x14ac:dyDescent="0.2">
      <c r="J60" s="16"/>
    </row>
    <row r="63" spans="2:10" x14ac:dyDescent="0.2">
      <c r="B63" s="3" t="s">
        <v>58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1068B-6F99-4467-AA34-15412AD32C8C}">
  <sheetPr>
    <tabColor rgb="FFFFFFCC"/>
  </sheetPr>
  <dimension ref="A2:M39"/>
  <sheetViews>
    <sheetView showGridLines="0" zoomScale="85" zoomScaleNormal="85" workbookViewId="0">
      <pane xSplit="6" ySplit="9" topLeftCell="G10" activePane="bottomRight" state="frozen"/>
      <selection activeCell="A4" sqref="A4"/>
      <selection pane="topRight" activeCell="A4" sqref="A4"/>
      <selection pane="bottomLeft" activeCell="A4" sqref="A4"/>
      <selection pane="bottomRight" activeCell="H21" sqref="H21"/>
    </sheetView>
  </sheetViews>
  <sheetFormatPr defaultRowHeight="12.75" x14ac:dyDescent="0.2"/>
  <cols>
    <col min="1" max="1" width="4.7109375" style="2" customWidth="1"/>
    <col min="2" max="2" width="65.42578125" style="2" customWidth="1"/>
    <col min="3" max="3" width="4.7109375" style="2" customWidth="1"/>
    <col min="4" max="5" width="4.5703125" style="2" customWidth="1"/>
    <col min="6" max="6" width="23.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9.140625" style="2" customWidth="1"/>
    <col min="17" max="19" width="4" style="2" customWidth="1"/>
    <col min="20" max="20" width="12.5703125" style="2" customWidth="1"/>
    <col min="21" max="33" width="13.7109375" style="2" customWidth="1"/>
    <col min="34" max="16384" width="9.140625" style="2"/>
  </cols>
  <sheetData>
    <row r="2" spans="2:13" s="10" customFormat="1" ht="18" x14ac:dyDescent="0.2">
      <c r="B2" s="10" t="s">
        <v>579</v>
      </c>
    </row>
    <row r="4" spans="2:13" x14ac:dyDescent="0.2">
      <c r="B4" s="17" t="s">
        <v>44</v>
      </c>
      <c r="C4" s="1"/>
      <c r="D4" s="1"/>
    </row>
    <row r="5" spans="2:13" x14ac:dyDescent="0.2">
      <c r="B5" s="2" t="s">
        <v>595</v>
      </c>
      <c r="H5" s="11"/>
      <c r="I5" s="11"/>
      <c r="J5" s="11"/>
      <c r="K5" s="11"/>
      <c r="L5" s="11"/>
      <c r="M5" s="11"/>
    </row>
    <row r="6" spans="2:13" x14ac:dyDescent="0.2">
      <c r="H6" s="11"/>
      <c r="I6" s="11"/>
      <c r="J6" s="11"/>
      <c r="K6" s="11"/>
      <c r="L6" s="11"/>
      <c r="M6" s="11"/>
    </row>
    <row r="8" spans="2:13" s="7" customFormat="1" x14ac:dyDescent="0.2">
      <c r="B8" s="7" t="s">
        <v>36</v>
      </c>
      <c r="F8" s="7" t="s">
        <v>19</v>
      </c>
      <c r="H8" s="7" t="s">
        <v>20</v>
      </c>
      <c r="J8" s="7" t="s">
        <v>38</v>
      </c>
    </row>
    <row r="11" spans="2:13" s="7" customFormat="1" x14ac:dyDescent="0.2">
      <c r="B11" s="7" t="s">
        <v>161</v>
      </c>
    </row>
    <row r="13" spans="2:13" x14ac:dyDescent="0.2">
      <c r="B13" s="1" t="s">
        <v>593</v>
      </c>
    </row>
    <row r="14" spans="2:13" x14ac:dyDescent="0.2">
      <c r="B14" s="2" t="s">
        <v>596</v>
      </c>
      <c r="F14" s="2" t="s">
        <v>171</v>
      </c>
      <c r="H14" s="24">
        <f>'Gegevens raming 2024'!N82</f>
        <v>2643315</v>
      </c>
      <c r="L14" s="163"/>
      <c r="M14" s="23"/>
    </row>
    <row r="15" spans="2:13" x14ac:dyDescent="0.2">
      <c r="M15" s="23"/>
    </row>
    <row r="16" spans="2:13" x14ac:dyDescent="0.2">
      <c r="B16" s="1" t="s">
        <v>557</v>
      </c>
      <c r="M16" s="23"/>
    </row>
    <row r="17" spans="2:13" x14ac:dyDescent="0.2">
      <c r="B17" s="2" t="s">
        <v>558</v>
      </c>
      <c r="F17" s="2" t="s">
        <v>380</v>
      </c>
      <c r="H17" s="24">
        <f>'Berekening kostenbasis 2024'!N92</f>
        <v>6280944.8058665283</v>
      </c>
      <c r="J17" s="2" t="s">
        <v>597</v>
      </c>
      <c r="L17" s="163"/>
      <c r="M17" s="23"/>
    </row>
    <row r="18" spans="2:13" x14ac:dyDescent="0.2">
      <c r="B18" s="2" t="s">
        <v>598</v>
      </c>
      <c r="F18" s="2" t="s">
        <v>380</v>
      </c>
      <c r="H18" s="24">
        <f>'Totaaloverzicht correcties'!N81</f>
        <v>-200593.05408164702</v>
      </c>
      <c r="L18" s="163"/>
      <c r="M18" s="23"/>
    </row>
    <row r="19" spans="2:13" x14ac:dyDescent="0.2">
      <c r="B19" s="2" t="s">
        <v>599</v>
      </c>
      <c r="F19" s="2" t="s">
        <v>380</v>
      </c>
      <c r="H19" s="25">
        <f>H17+H18</f>
        <v>6080351.7517848816</v>
      </c>
      <c r="L19" s="161"/>
      <c r="M19" s="23"/>
    </row>
    <row r="20" spans="2:13" x14ac:dyDescent="0.2">
      <c r="M20" s="23"/>
    </row>
    <row r="21" spans="2:13" x14ac:dyDescent="0.2">
      <c r="B21" s="2" t="s">
        <v>600</v>
      </c>
      <c r="F21" s="2" t="s">
        <v>372</v>
      </c>
      <c r="H21" s="130">
        <f>'Variabel tarief elektriciteit'!H43</f>
        <v>0.35749999999999998</v>
      </c>
      <c r="J21" s="2" t="s">
        <v>330</v>
      </c>
      <c r="L21" s="164"/>
      <c r="M21" s="164"/>
    </row>
    <row r="22" spans="2:13" x14ac:dyDescent="0.2">
      <c r="B22" s="2" t="s">
        <v>338</v>
      </c>
      <c r="F22" s="2" t="s">
        <v>173</v>
      </c>
      <c r="H22" s="130">
        <f>'Gegevens raming 2024'!N27</f>
        <v>3.8348885763912572</v>
      </c>
      <c r="L22" s="164"/>
      <c r="M22" s="164"/>
    </row>
    <row r="23" spans="2:13" x14ac:dyDescent="0.2">
      <c r="B23" s="2" t="s">
        <v>339</v>
      </c>
      <c r="F23" s="2" t="s">
        <v>372</v>
      </c>
      <c r="H23" s="149">
        <f>H14*H22*H21</f>
        <v>3623912.6127860565</v>
      </c>
      <c r="L23" s="96"/>
      <c r="M23" s="164"/>
    </row>
    <row r="24" spans="2:13" x14ac:dyDescent="0.2">
      <c r="M24" s="164"/>
    </row>
    <row r="25" spans="2:13" x14ac:dyDescent="0.2">
      <c r="B25" s="2" t="s">
        <v>601</v>
      </c>
      <c r="F25" s="2" t="s">
        <v>382</v>
      </c>
      <c r="H25" s="140">
        <f>(H19+H23)/H14</f>
        <v>3.6712477947467246</v>
      </c>
      <c r="L25" s="36"/>
      <c r="M25" s="164"/>
    </row>
    <row r="26" spans="2:13" x14ac:dyDescent="0.2">
      <c r="B26" s="2" t="s">
        <v>602</v>
      </c>
      <c r="F26" s="2" t="s">
        <v>382</v>
      </c>
      <c r="H26" s="143">
        <f>ROUND(H25,4)</f>
        <v>3.6711999999999998</v>
      </c>
      <c r="J26" s="2" t="s">
        <v>332</v>
      </c>
      <c r="L26" s="36"/>
      <c r="M26" s="164"/>
    </row>
    <row r="28" spans="2:13" s="7" customFormat="1" x14ac:dyDescent="0.2">
      <c r="B28" s="7" t="s">
        <v>340</v>
      </c>
    </row>
    <row r="30" spans="2:13" x14ac:dyDescent="0.2">
      <c r="B30" s="2" t="s">
        <v>168</v>
      </c>
      <c r="F30" s="2" t="s">
        <v>380</v>
      </c>
      <c r="H30" s="24">
        <f>'Totaaloverzicht correcties'!O82</f>
        <v>-45209.441400039461</v>
      </c>
    </row>
    <row r="31" spans="2:13" x14ac:dyDescent="0.2">
      <c r="B31" s="2" t="s">
        <v>341</v>
      </c>
      <c r="F31" s="2" t="s">
        <v>382</v>
      </c>
      <c r="H31" s="140">
        <f>H30/H14</f>
        <v>-1.7103312091082394E-2</v>
      </c>
    </row>
    <row r="33" spans="1:13" x14ac:dyDescent="0.2">
      <c r="B33" s="2" t="s">
        <v>342</v>
      </c>
      <c r="F33" s="2" t="s">
        <v>142</v>
      </c>
      <c r="H33" s="141">
        <f>'Gegevens raming 2024'!O35</f>
        <v>0.12259312967777755</v>
      </c>
    </row>
    <row r="34" spans="1:13" x14ac:dyDescent="0.2">
      <c r="B34" s="2" t="s">
        <v>603</v>
      </c>
      <c r="F34" s="2" t="s">
        <v>123</v>
      </c>
      <c r="H34" s="150">
        <f>(H26+H31)/(1-H33)</f>
        <v>4.1646547474229054</v>
      </c>
    </row>
    <row r="35" spans="1:13" x14ac:dyDescent="0.2">
      <c r="A35" s="175"/>
      <c r="B35" s="2" t="s">
        <v>604</v>
      </c>
      <c r="F35" s="2" t="s">
        <v>123</v>
      </c>
      <c r="H35" s="178">
        <f>ROUND(H34,3)</f>
        <v>4.165</v>
      </c>
      <c r="J35" s="2" t="s">
        <v>757</v>
      </c>
      <c r="M35" s="134"/>
    </row>
    <row r="36" spans="1:13" x14ac:dyDescent="0.2">
      <c r="H36" s="151"/>
    </row>
    <row r="39" spans="1:13" x14ac:dyDescent="0.2">
      <c r="B39" s="3" t="s">
        <v>58</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426-17EC-4397-94E8-63D4564C2765}">
  <sheetPr>
    <tabColor rgb="FFFFFFCC"/>
  </sheetPr>
  <dimension ref="A2:P63"/>
  <sheetViews>
    <sheetView showGridLines="0" zoomScale="85" zoomScaleNormal="85" workbookViewId="0">
      <pane xSplit="6" ySplit="10" topLeftCell="G11" activePane="bottomRight" state="frozen"/>
      <selection activeCell="A4" sqref="A4"/>
      <selection pane="topRight" activeCell="A4" sqref="A4"/>
      <selection pane="bottomLeft" activeCell="A4" sqref="A4"/>
      <selection pane="bottomRight" activeCell="H48" sqref="H48"/>
    </sheetView>
  </sheetViews>
  <sheetFormatPr defaultRowHeight="12.75" x14ac:dyDescent="0.2"/>
  <cols>
    <col min="1" max="1" width="4.7109375" style="2" customWidth="1"/>
    <col min="2" max="2" width="61.5703125" style="2" customWidth="1"/>
    <col min="3" max="3" width="21" style="2" customWidth="1"/>
    <col min="4" max="5" width="4.5703125" style="2" customWidth="1"/>
    <col min="6" max="6" width="24.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9.140625" style="2" customWidth="1"/>
    <col min="13" max="15" width="4" style="2" customWidth="1"/>
    <col min="16" max="16" width="12.5703125" style="2" customWidth="1"/>
    <col min="17" max="29" width="13.7109375" style="2" customWidth="1"/>
    <col min="30" max="16384" width="9.140625" style="2"/>
  </cols>
  <sheetData>
    <row r="2" spans="2:10" s="10" customFormat="1" ht="18" x14ac:dyDescent="0.2">
      <c r="B2" s="10" t="s">
        <v>580</v>
      </c>
    </row>
    <row r="4" spans="2:10" x14ac:dyDescent="0.2">
      <c r="B4" s="17" t="s">
        <v>44</v>
      </c>
      <c r="C4" s="1"/>
      <c r="D4" s="1"/>
    </row>
    <row r="5" spans="2:10" x14ac:dyDescent="0.2">
      <c r="B5" s="2" t="s">
        <v>577</v>
      </c>
      <c r="H5" s="11"/>
    </row>
    <row r="6" spans="2:10" x14ac:dyDescent="0.2">
      <c r="B6" s="2" t="s">
        <v>343</v>
      </c>
    </row>
    <row r="9" spans="2:10" s="7" customFormat="1" x14ac:dyDescent="0.2">
      <c r="B9" s="7" t="s">
        <v>36</v>
      </c>
      <c r="F9" s="7" t="s">
        <v>19</v>
      </c>
      <c r="H9" s="7" t="s">
        <v>20</v>
      </c>
      <c r="J9" s="7" t="s">
        <v>38</v>
      </c>
    </row>
    <row r="12" spans="2:10" s="7" customFormat="1" x14ac:dyDescent="0.2">
      <c r="B12" s="7" t="s">
        <v>141</v>
      </c>
    </row>
    <row r="14" spans="2:10" x14ac:dyDescent="0.2">
      <c r="B14" s="2" t="s">
        <v>390</v>
      </c>
      <c r="F14" s="2" t="s">
        <v>142</v>
      </c>
      <c r="H14" s="118">
        <f>Parameters!H30</f>
        <v>1.9E-2</v>
      </c>
    </row>
    <row r="16" spans="2:10" s="7" customFormat="1" x14ac:dyDescent="0.2">
      <c r="B16" s="7" t="s">
        <v>580</v>
      </c>
    </row>
    <row r="18" spans="2:16" x14ac:dyDescent="0.2">
      <c r="B18" s="1" t="s">
        <v>344</v>
      </c>
    </row>
    <row r="19" spans="2:16" x14ac:dyDescent="0.2">
      <c r="B19" s="2" t="s">
        <v>606</v>
      </c>
      <c r="F19" s="2" t="s">
        <v>380</v>
      </c>
      <c r="H19" s="24">
        <f>'Berekening kostenbasis 2024'!O92</f>
        <v>7203393.4294830766</v>
      </c>
      <c r="P19" s="23"/>
    </row>
    <row r="20" spans="2:16" x14ac:dyDescent="0.2">
      <c r="B20" s="2" t="s">
        <v>151</v>
      </c>
      <c r="F20" s="2" t="s">
        <v>380</v>
      </c>
      <c r="H20" s="24">
        <f>'Totaaloverzicht correcties'!O84</f>
        <v>172208.84034536782</v>
      </c>
      <c r="P20" s="23"/>
    </row>
    <row r="21" spans="2:16" x14ac:dyDescent="0.2">
      <c r="B21" s="2" t="s">
        <v>582</v>
      </c>
      <c r="F21" s="2" t="s">
        <v>380</v>
      </c>
      <c r="H21" s="25">
        <f>H19+H20</f>
        <v>7375602.2698284443</v>
      </c>
      <c r="P21" s="23"/>
    </row>
    <row r="22" spans="2:16" x14ac:dyDescent="0.2">
      <c r="P22" s="23"/>
    </row>
    <row r="23" spans="2:16" x14ac:dyDescent="0.2">
      <c r="B23" s="2" t="s">
        <v>583</v>
      </c>
      <c r="F23" s="2" t="s">
        <v>175</v>
      </c>
      <c r="H23" s="24">
        <f>'Gegevens raming 2024'!O82</f>
        <v>3259.9375</v>
      </c>
      <c r="P23" s="23"/>
    </row>
    <row r="24" spans="2:16" x14ac:dyDescent="0.2">
      <c r="B24" s="2" t="s">
        <v>607</v>
      </c>
      <c r="F24" s="2" t="s">
        <v>608</v>
      </c>
      <c r="H24" s="146">
        <f>H21/H23/12</f>
        <v>188.5415050091309</v>
      </c>
      <c r="P24" s="23"/>
    </row>
    <row r="26" spans="2:16" x14ac:dyDescent="0.2">
      <c r="B26" s="1" t="s">
        <v>327</v>
      </c>
    </row>
    <row r="27" spans="2:16" ht="25.5" x14ac:dyDescent="0.2">
      <c r="B27" s="108" t="s">
        <v>102</v>
      </c>
      <c r="C27" s="109" t="s">
        <v>231</v>
      </c>
      <c r="H27" s="115"/>
    </row>
    <row r="28" spans="2:16" x14ac:dyDescent="0.2">
      <c r="B28" s="103" t="s">
        <v>127</v>
      </c>
      <c r="C28" s="119">
        <f>'Gegevens raming 2024'!C69</f>
        <v>0.25</v>
      </c>
      <c r="F28" s="2" t="s">
        <v>585</v>
      </c>
      <c r="H28" s="148">
        <f t="shared" ref="H28:H33" si="0">C28*$H$24</f>
        <v>47.135376252282725</v>
      </c>
    </row>
    <row r="29" spans="2:16" x14ac:dyDescent="0.2">
      <c r="B29" s="103" t="s">
        <v>128</v>
      </c>
      <c r="C29" s="119">
        <f>'Gegevens raming 2024'!C70</f>
        <v>0.5625</v>
      </c>
      <c r="F29" s="2" t="s">
        <v>585</v>
      </c>
      <c r="H29" s="148">
        <f t="shared" si="0"/>
        <v>106.05459656763614</v>
      </c>
    </row>
    <row r="30" spans="2:16" x14ac:dyDescent="0.2">
      <c r="B30" s="103" t="s">
        <v>129</v>
      </c>
      <c r="C30" s="119">
        <f>'Gegevens raming 2024'!C71</f>
        <v>1</v>
      </c>
      <c r="F30" s="2" t="s">
        <v>585</v>
      </c>
      <c r="H30" s="148">
        <f t="shared" si="0"/>
        <v>188.5415050091309</v>
      </c>
    </row>
    <row r="31" spans="2:16" x14ac:dyDescent="0.2">
      <c r="B31" s="42" t="s">
        <v>130</v>
      </c>
      <c r="C31" s="119">
        <f>'Gegevens raming 2024'!C72</f>
        <v>1.5625</v>
      </c>
      <c r="F31" s="2" t="s">
        <v>585</v>
      </c>
      <c r="H31" s="148">
        <f t="shared" si="0"/>
        <v>294.59610157676701</v>
      </c>
    </row>
    <row r="32" spans="2:16" x14ac:dyDescent="0.2">
      <c r="B32" s="103" t="s">
        <v>131</v>
      </c>
      <c r="C32" s="119">
        <f>'Gegevens raming 2024'!C73</f>
        <v>4</v>
      </c>
      <c r="F32" s="2" t="s">
        <v>585</v>
      </c>
      <c r="H32" s="148">
        <f t="shared" si="0"/>
        <v>754.16602003652361</v>
      </c>
    </row>
    <row r="33" spans="1:10" x14ac:dyDescent="0.2">
      <c r="B33" s="103" t="s">
        <v>132</v>
      </c>
      <c r="C33" s="119">
        <f>'Gegevens raming 2024'!C74</f>
        <v>16</v>
      </c>
      <c r="F33" s="2" t="s">
        <v>585</v>
      </c>
      <c r="H33" s="148">
        <f t="shared" si="0"/>
        <v>3016.6640801460944</v>
      </c>
      <c r="J33" s="152"/>
    </row>
    <row r="36" spans="1:10" s="7" customFormat="1" x14ac:dyDescent="0.2">
      <c r="B36" s="7" t="s">
        <v>345</v>
      </c>
    </row>
    <row r="38" spans="1:10" x14ac:dyDescent="0.2">
      <c r="B38" s="1" t="s">
        <v>346</v>
      </c>
    </row>
    <row r="39" spans="1:10" x14ac:dyDescent="0.2">
      <c r="B39" s="42" t="s">
        <v>609</v>
      </c>
      <c r="F39" s="2" t="s">
        <v>380</v>
      </c>
      <c r="H39" s="129">
        <f>'Berekening kostenbasis 2024'!P92</f>
        <v>191493.44704852114</v>
      </c>
    </row>
    <row r="40" spans="1:10" x14ac:dyDescent="0.2">
      <c r="B40" s="2" t="s">
        <v>347</v>
      </c>
      <c r="F40" s="2" t="s">
        <v>380</v>
      </c>
      <c r="H40" s="129">
        <f>'Totaaloverzicht correcties'!P82</f>
        <v>18998.471896329647</v>
      </c>
    </row>
    <row r="41" spans="1:10" x14ac:dyDescent="0.2">
      <c r="B41" s="42" t="s">
        <v>610</v>
      </c>
      <c r="F41" s="2" t="s">
        <v>380</v>
      </c>
      <c r="H41" s="25">
        <f>H39+H40</f>
        <v>210491.9189448508</v>
      </c>
    </row>
    <row r="42" spans="1:10" x14ac:dyDescent="0.2">
      <c r="B42" s="42"/>
    </row>
    <row r="43" spans="1:10" x14ac:dyDescent="0.2">
      <c r="B43" s="42" t="s">
        <v>611</v>
      </c>
      <c r="F43" s="2" t="s">
        <v>171</v>
      </c>
      <c r="H43" s="129">
        <f>'Gegevens raming 2024'!P82</f>
        <v>15813.5</v>
      </c>
    </row>
    <row r="44" spans="1:10" x14ac:dyDescent="0.2">
      <c r="B44" s="42"/>
    </row>
    <row r="45" spans="1:10" x14ac:dyDescent="0.2">
      <c r="B45" s="42" t="s">
        <v>348</v>
      </c>
      <c r="F45" s="2" t="s">
        <v>382</v>
      </c>
      <c r="H45" s="153">
        <f>H41/H43</f>
        <v>13.310900113501173</v>
      </c>
    </row>
    <row r="46" spans="1:10" x14ac:dyDescent="0.2">
      <c r="B46" s="2" t="s">
        <v>360</v>
      </c>
      <c r="F46" s="2" t="s">
        <v>382</v>
      </c>
      <c r="H46" s="130">
        <f>'Variabel tarief drinkwater'!H26</f>
        <v>3.6711999999999998</v>
      </c>
      <c r="J46" s="2" t="s">
        <v>349</v>
      </c>
    </row>
    <row r="47" spans="1:10" x14ac:dyDescent="0.2">
      <c r="B47" s="2" t="s">
        <v>125</v>
      </c>
      <c r="F47" s="2" t="s">
        <v>382</v>
      </c>
      <c r="H47" s="94">
        <f>H45+H46</f>
        <v>16.982100113501172</v>
      </c>
    </row>
    <row r="48" spans="1:10" x14ac:dyDescent="0.2">
      <c r="A48" s="175"/>
      <c r="B48" s="2" t="s">
        <v>350</v>
      </c>
      <c r="F48" s="2" t="s">
        <v>382</v>
      </c>
      <c r="H48" s="154">
        <f>ROUND(H47,3)</f>
        <v>16.981999999999999</v>
      </c>
    </row>
    <row r="51" spans="2:10" s="7" customFormat="1" x14ac:dyDescent="0.2">
      <c r="B51" s="7" t="s">
        <v>351</v>
      </c>
    </row>
    <row r="53" spans="2:10" x14ac:dyDescent="0.2">
      <c r="B53" s="42" t="s">
        <v>334</v>
      </c>
      <c r="F53" s="2" t="s">
        <v>119</v>
      </c>
      <c r="H53" s="119">
        <f>'Gegevens raming 2024'!O40</f>
        <v>40</v>
      </c>
    </row>
    <row r="54" spans="2:10" x14ac:dyDescent="0.2">
      <c r="B54" s="42" t="s">
        <v>590</v>
      </c>
      <c r="F54" s="2" t="s">
        <v>380</v>
      </c>
      <c r="H54" s="148">
        <f>H53</f>
        <v>40</v>
      </c>
      <c r="J54" s="2" t="s">
        <v>335</v>
      </c>
    </row>
    <row r="56" spans="2:10" x14ac:dyDescent="0.2">
      <c r="B56" s="1" t="s">
        <v>336</v>
      </c>
    </row>
    <row r="57" spans="2:10" x14ac:dyDescent="0.2">
      <c r="B57" s="2" t="s">
        <v>352</v>
      </c>
      <c r="F57" s="2" t="s">
        <v>119</v>
      </c>
      <c r="H57" s="119">
        <f>'Gegevens raming 2024'!O41</f>
        <v>1169.3754844979201</v>
      </c>
    </row>
    <row r="58" spans="2:10" x14ac:dyDescent="0.2">
      <c r="B58" s="2" t="s">
        <v>612</v>
      </c>
      <c r="F58" s="2" t="s">
        <v>380</v>
      </c>
      <c r="H58" s="148">
        <f>H57*(1+$H$14)</f>
        <v>1191.5936187033803</v>
      </c>
      <c r="J58" s="16"/>
    </row>
    <row r="63" spans="2:10" x14ac:dyDescent="0.2">
      <c r="B63" s="3" t="s">
        <v>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BD58-4508-4AC3-B45E-AD31EF4D45C2}">
  <sheetPr>
    <tabColor rgb="FFCCC8D9"/>
  </sheetPr>
  <dimension ref="A2:E40"/>
  <sheetViews>
    <sheetView showGridLines="0" zoomScale="85" zoomScaleNormal="85" workbookViewId="0">
      <pane ySplit="3" topLeftCell="A4" activePane="bottomLeft" state="frozen"/>
      <selection activeCell="A4" sqref="A4"/>
      <selection pane="bottomLeft"/>
    </sheetView>
  </sheetViews>
  <sheetFormatPr defaultRowHeight="12.75" x14ac:dyDescent="0.2"/>
  <cols>
    <col min="1" max="1" width="5.7109375" style="2" customWidth="1"/>
    <col min="2" max="2" width="7.5703125" style="2" customWidth="1"/>
    <col min="3" max="3" width="60.28515625" style="2" customWidth="1"/>
    <col min="4" max="4" width="36.28515625" style="2" customWidth="1"/>
    <col min="5" max="5" width="111.85546875" style="2" customWidth="1"/>
    <col min="6" max="6" width="5.7109375" style="2" customWidth="1"/>
    <col min="7" max="16384" width="9.140625" style="2"/>
  </cols>
  <sheetData>
    <row r="2" spans="2:5" s="6" customFormat="1" ht="18" x14ac:dyDescent="0.2">
      <c r="B2" s="6" t="s">
        <v>16</v>
      </c>
    </row>
    <row r="5" spans="2:5" s="7" customFormat="1" x14ac:dyDescent="0.2">
      <c r="B5" s="7" t="s">
        <v>17</v>
      </c>
    </row>
    <row r="7" spans="2:5" x14ac:dyDescent="0.2">
      <c r="B7" s="18" t="s">
        <v>47</v>
      </c>
    </row>
    <row r="8" spans="2:5" x14ac:dyDescent="0.2">
      <c r="B8" s="18" t="s">
        <v>48</v>
      </c>
    </row>
    <row r="10" spans="2:5" x14ac:dyDescent="0.2">
      <c r="B10" s="12" t="s">
        <v>42</v>
      </c>
      <c r="C10" s="12" t="s">
        <v>43</v>
      </c>
      <c r="D10" s="12" t="s">
        <v>59</v>
      </c>
      <c r="E10" s="12" t="s">
        <v>60</v>
      </c>
    </row>
    <row r="11" spans="2:5" x14ac:dyDescent="0.2">
      <c r="B11" s="15"/>
      <c r="C11" s="15" t="s">
        <v>46</v>
      </c>
      <c r="D11" s="15" t="s">
        <v>18</v>
      </c>
      <c r="E11" s="15" t="s">
        <v>61</v>
      </c>
    </row>
    <row r="12" spans="2:5" x14ac:dyDescent="0.2">
      <c r="B12" s="5">
        <v>1</v>
      </c>
      <c r="C12" s="5" t="s">
        <v>72</v>
      </c>
      <c r="D12" s="5"/>
      <c r="E12" s="32" t="s">
        <v>73</v>
      </c>
    </row>
    <row r="13" spans="2:5" x14ac:dyDescent="0.2">
      <c r="B13" s="5">
        <v>2</v>
      </c>
      <c r="C13" s="2" t="s">
        <v>74</v>
      </c>
      <c r="D13" s="5"/>
      <c r="E13" s="32" t="s">
        <v>75</v>
      </c>
    </row>
    <row r="14" spans="2:5" x14ac:dyDescent="0.2">
      <c r="B14" s="5">
        <v>3</v>
      </c>
      <c r="C14" s="5" t="s">
        <v>82</v>
      </c>
      <c r="D14" s="33"/>
      <c r="E14" s="32" t="s">
        <v>83</v>
      </c>
    </row>
    <row r="15" spans="2:5" x14ac:dyDescent="0.2">
      <c r="B15" s="5">
        <v>4</v>
      </c>
      <c r="C15" s="5" t="s">
        <v>76</v>
      </c>
      <c r="D15" s="5" t="s">
        <v>77</v>
      </c>
      <c r="E15" s="32" t="s">
        <v>78</v>
      </c>
    </row>
    <row r="16" spans="2:5" x14ac:dyDescent="0.2">
      <c r="B16" s="5">
        <v>5</v>
      </c>
      <c r="C16" s="5" t="s">
        <v>79</v>
      </c>
      <c r="D16" s="5" t="s">
        <v>80</v>
      </c>
      <c r="E16" s="32" t="s">
        <v>81</v>
      </c>
    </row>
    <row r="17" spans="1:5" x14ac:dyDescent="0.2">
      <c r="B17" s="5">
        <v>6</v>
      </c>
      <c r="C17" s="5" t="s">
        <v>442</v>
      </c>
      <c r="D17" s="5"/>
      <c r="E17" s="5" t="s">
        <v>458</v>
      </c>
    </row>
    <row r="18" spans="1:5" x14ac:dyDescent="0.2">
      <c r="B18" s="5">
        <v>7</v>
      </c>
      <c r="C18" s="5" t="s">
        <v>443</v>
      </c>
      <c r="D18" s="5"/>
      <c r="E18" s="5" t="s">
        <v>459</v>
      </c>
    </row>
    <row r="19" spans="1:5" x14ac:dyDescent="0.2">
      <c r="B19" s="5">
        <v>8</v>
      </c>
      <c r="C19" s="5" t="s">
        <v>444</v>
      </c>
      <c r="D19" s="5"/>
      <c r="E19" s="5" t="s">
        <v>760</v>
      </c>
    </row>
    <row r="20" spans="1:5" x14ac:dyDescent="0.2">
      <c r="B20" s="5">
        <v>9</v>
      </c>
      <c r="C20" s="5" t="s">
        <v>89</v>
      </c>
      <c r="D20" s="5"/>
      <c r="E20" s="5" t="s">
        <v>460</v>
      </c>
    </row>
    <row r="21" spans="1:5" x14ac:dyDescent="0.2">
      <c r="B21" s="5">
        <v>10</v>
      </c>
      <c r="C21" s="5" t="s">
        <v>90</v>
      </c>
      <c r="D21" s="5"/>
      <c r="E21" s="5" t="s">
        <v>460</v>
      </c>
    </row>
    <row r="22" spans="1:5" x14ac:dyDescent="0.2">
      <c r="A22" s="175"/>
      <c r="B22" s="5">
        <v>11</v>
      </c>
      <c r="C22" s="5" t="s">
        <v>91</v>
      </c>
      <c r="D22" s="5"/>
      <c r="E22" s="5" t="s">
        <v>750</v>
      </c>
    </row>
    <row r="23" spans="1:5" x14ac:dyDescent="0.2">
      <c r="B23" s="5">
        <v>12</v>
      </c>
      <c r="C23" s="5" t="s">
        <v>470</v>
      </c>
      <c r="D23" s="5"/>
      <c r="E23" s="34" t="s">
        <v>488</v>
      </c>
    </row>
    <row r="24" spans="1:5" x14ac:dyDescent="0.2">
      <c r="B24" s="5">
        <v>13</v>
      </c>
      <c r="C24" s="5" t="s">
        <v>92</v>
      </c>
      <c r="D24" s="5"/>
      <c r="E24" s="5" t="s">
        <v>93</v>
      </c>
    </row>
    <row r="25" spans="1:5" x14ac:dyDescent="0.2">
      <c r="B25" s="5">
        <v>14</v>
      </c>
      <c r="C25" s="5" t="s">
        <v>719</v>
      </c>
      <c r="D25" s="5"/>
      <c r="E25" s="32" t="s">
        <v>723</v>
      </c>
    </row>
    <row r="26" spans="1:5" x14ac:dyDescent="0.2">
      <c r="B26" s="5">
        <v>15</v>
      </c>
      <c r="C26" s="5" t="s">
        <v>494</v>
      </c>
      <c r="D26" s="5"/>
      <c r="E26" s="32" t="s">
        <v>492</v>
      </c>
    </row>
    <row r="27" spans="1:5" x14ac:dyDescent="0.2">
      <c r="B27" s="5">
        <v>16</v>
      </c>
      <c r="C27" s="5" t="s">
        <v>758</v>
      </c>
      <c r="D27" s="5"/>
      <c r="E27" s="158" t="s">
        <v>493</v>
      </c>
    </row>
    <row r="28" spans="1:5" x14ac:dyDescent="0.2">
      <c r="B28" s="5">
        <v>17</v>
      </c>
      <c r="C28" s="5" t="s">
        <v>84</v>
      </c>
      <c r="D28" s="5" t="s">
        <v>85</v>
      </c>
      <c r="E28" s="32" t="s">
        <v>86</v>
      </c>
    </row>
    <row r="29" spans="1:5" x14ac:dyDescent="0.2">
      <c r="B29" s="5">
        <v>18</v>
      </c>
      <c r="C29" s="5" t="s">
        <v>680</v>
      </c>
      <c r="D29" s="5"/>
      <c r="E29" s="159" t="s">
        <v>681</v>
      </c>
    </row>
    <row r="30" spans="1:5" x14ac:dyDescent="0.2">
      <c r="B30" s="5">
        <v>19</v>
      </c>
      <c r="C30" s="5" t="s">
        <v>260</v>
      </c>
      <c r="D30" s="5"/>
      <c r="E30" s="5"/>
    </row>
    <row r="31" spans="1:5" x14ac:dyDescent="0.2">
      <c r="B31" s="5">
        <v>20</v>
      </c>
      <c r="C31" s="5" t="s">
        <v>653</v>
      </c>
      <c r="D31" s="5"/>
      <c r="E31" s="5" t="s">
        <v>652</v>
      </c>
    </row>
    <row r="32" spans="1:5" x14ac:dyDescent="0.2">
      <c r="B32" s="5">
        <v>21</v>
      </c>
      <c r="C32" s="5" t="s">
        <v>87</v>
      </c>
      <c r="D32" s="5"/>
      <c r="E32" s="32" t="s">
        <v>88</v>
      </c>
    </row>
    <row r="33" spans="2:5" x14ac:dyDescent="0.2">
      <c r="B33" s="5">
        <v>22</v>
      </c>
      <c r="C33" s="5" t="s">
        <v>677</v>
      </c>
      <c r="D33" s="5"/>
      <c r="E33" s="32" t="s">
        <v>678</v>
      </c>
    </row>
    <row r="34" spans="2:5" x14ac:dyDescent="0.2">
      <c r="B34" s="5">
        <v>23</v>
      </c>
      <c r="C34" s="5" t="s">
        <v>679</v>
      </c>
      <c r="D34" s="5"/>
      <c r="E34" s="32" t="s">
        <v>735</v>
      </c>
    </row>
    <row r="35" spans="2:5" x14ac:dyDescent="0.2">
      <c r="B35" s="5">
        <v>24</v>
      </c>
      <c r="C35" s="5" t="s">
        <v>751</v>
      </c>
      <c r="D35" s="5"/>
      <c r="E35" s="5" t="s">
        <v>749</v>
      </c>
    </row>
    <row r="36" spans="2:5" x14ac:dyDescent="0.2">
      <c r="B36" s="5">
        <v>25</v>
      </c>
      <c r="C36" s="5" t="s">
        <v>753</v>
      </c>
      <c r="D36" s="5"/>
      <c r="E36" s="5" t="s">
        <v>754</v>
      </c>
    </row>
    <row r="40" spans="2:5" x14ac:dyDescent="0.2">
      <c r="B40" s="18" t="s">
        <v>58</v>
      </c>
    </row>
  </sheetData>
  <phoneticPr fontId="31" type="noConversion"/>
  <hyperlinks>
    <hyperlink ref="E12" r:id="rId1" location="/CBS/nl/dataset/84046NED/table" xr:uid="{796625E4-26FA-4F35-A9FE-0E49A86E4469}"/>
    <hyperlink ref="E15" r:id="rId2" xr:uid="{85A8DA5C-F056-4690-945C-FBD8980751E0}"/>
    <hyperlink ref="E16" r:id="rId3" xr:uid="{E33DC7D8-6D05-48ED-877E-99D2398542B1}"/>
    <hyperlink ref="E13" r:id="rId4" xr:uid="{9B6A4E70-FA0F-4422-B27C-B24DFC5E4883}"/>
    <hyperlink ref="E26" r:id="rId5" display="https://www.acm.nl/nl/publicaties/beschikking-distributietarieven-elektriciteit-2023-bonaire-web" xr:uid="{2BF9345D-B034-461A-BA3D-CD90B1AC7887}"/>
    <hyperlink ref="E27" r:id="rId6" display="https://www.acm.nl/nl/publicaties/beschikking-distributietarieven-drinkwater-2023-bonaire-web" xr:uid="{2D974BCE-3975-4DDF-A431-E9803E012086}"/>
    <hyperlink ref="E28" r:id="rId7" xr:uid="{314F4A30-D734-46D1-B5EF-960948411A90}"/>
    <hyperlink ref="E32" r:id="rId8" display="https://www.acm.nl/nl/publicaties/beschikking-variabel-tarief-elektriciteit-1-juli-2022-bonaire-caribisch-nederland" xr:uid="{6EE34020-8C8C-47C9-AF7E-DDA0F9D2E4FC}"/>
    <hyperlink ref="E29" r:id="rId9" location=":~:text=De%20Autoriteit%20Consument%20en%20Markt,N.V.%20(WEB)%20voor%202023." display="https://www.acm.nl/nl/publicaties/beschikking-productieprijs-elektriciteit-2023-bonaire-web - :~:text=De%20Autoriteit%20Consument%20en%20Markt,N.V.%20(WEB)%20voor%202023." xr:uid="{A9494C04-8CC9-4C85-BAD4-0D4FCF7330F0}"/>
    <hyperlink ref="E25" r:id="rId10" display="https://www.webbonaire.com/wp-content/uploads/2021/12/WEB-NL-Elektriciteitstarieven-per-1-januari-2022.pdf" xr:uid="{D7DFEE18-8E00-401E-BF3A-14F9F4DB3957}"/>
    <hyperlink ref="E34" r:id="rId11" location=":~:text=De%20Autoriteit%20Consument%20en%20Markt,B.V.%20(ContourGlobal)%20voor%202022." display="https://www.acm.nl/nl/publicaties/beschikking-productieprijs-elektriciteit-2022-bonaire-contourglobal-caribisch-nederland - :~:text=De%20Autoriteit%20Consument%20en%20Markt,B.V.%20(ContourGlobal)%20voor%202022." xr:uid="{78252A26-086F-4101-9646-1955E7CDEA97}"/>
  </hyperlinks>
  <pageMargins left="0.75" right="0.75" top="1" bottom="1" header="0.5" footer="0.5"/>
  <pageSetup paperSize="9" orientation="portrait" r:id="rId1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385DA-FB14-46D8-AE2C-64AD18BA5776}">
  <sheetPr>
    <tabColor rgb="FFCCFFFF"/>
  </sheetPr>
  <dimension ref="A2:P71"/>
  <sheetViews>
    <sheetView showGridLines="0" zoomScale="85" zoomScaleNormal="85" workbookViewId="0">
      <pane xSplit="6" ySplit="12" topLeftCell="G31" activePane="bottomRight" state="frozen"/>
      <selection activeCell="A4" sqref="A4"/>
      <selection pane="topRight" activeCell="A4" sqref="A4"/>
      <selection pane="bottomLeft" activeCell="A4" sqref="A4"/>
      <selection pane="bottomRight"/>
    </sheetView>
  </sheetViews>
  <sheetFormatPr defaultRowHeight="12.75" x14ac:dyDescent="0.2"/>
  <cols>
    <col min="1" max="1" width="5.7109375" style="2" customWidth="1"/>
    <col min="2" max="2" width="62.28515625" style="2" customWidth="1"/>
    <col min="3" max="5" width="5.7109375" style="2" customWidth="1"/>
    <col min="6" max="6" width="24.28515625" style="2" customWidth="1"/>
    <col min="7" max="7" width="2.7109375" style="2" customWidth="1"/>
    <col min="8" max="8" width="15.5703125" style="2" customWidth="1"/>
    <col min="9" max="9" width="2.7109375" style="2" customWidth="1"/>
    <col min="10" max="10" width="28.7109375" style="2" customWidth="1"/>
    <col min="11" max="11" width="2.7109375" style="2" customWidth="1"/>
    <col min="12" max="12" width="51.28515625" style="2" customWidth="1"/>
    <col min="13" max="21" width="12.5703125" style="2" customWidth="1"/>
    <col min="22" max="24" width="2.7109375" style="2" customWidth="1"/>
    <col min="25" max="25" width="30.85546875" style="2" customWidth="1"/>
    <col min="26" max="39" width="13.7109375" style="2" customWidth="1"/>
    <col min="40" max="16384" width="9.140625" style="2"/>
  </cols>
  <sheetData>
    <row r="2" spans="2:12" s="10" customFormat="1" ht="18" x14ac:dyDescent="0.2">
      <c r="B2" s="10" t="s">
        <v>25</v>
      </c>
    </row>
    <row r="4" spans="2:12" x14ac:dyDescent="0.2">
      <c r="B4" s="17" t="s">
        <v>45</v>
      </c>
      <c r="C4" s="1"/>
      <c r="D4" s="1"/>
    </row>
    <row r="5" spans="2:12" x14ac:dyDescent="0.2">
      <c r="B5" s="2" t="s">
        <v>368</v>
      </c>
      <c r="H5" s="11"/>
    </row>
    <row r="6" spans="2:12" x14ac:dyDescent="0.2">
      <c r="H6" s="11"/>
    </row>
    <row r="7" spans="2:12" x14ac:dyDescent="0.2">
      <c r="B7" s="2" t="s">
        <v>369</v>
      </c>
      <c r="H7" s="11"/>
    </row>
    <row r="8" spans="2:12" x14ac:dyDescent="0.2">
      <c r="B8" s="2" t="s">
        <v>370</v>
      </c>
      <c r="H8" s="11"/>
    </row>
    <row r="9" spans="2:12" x14ac:dyDescent="0.2">
      <c r="H9" s="11"/>
    </row>
    <row r="11" spans="2:12" s="7" customFormat="1" x14ac:dyDescent="0.2">
      <c r="B11" s="7" t="s">
        <v>36</v>
      </c>
      <c r="F11" s="7" t="s">
        <v>19</v>
      </c>
      <c r="H11" s="7" t="s">
        <v>20</v>
      </c>
      <c r="J11" s="7" t="s">
        <v>94</v>
      </c>
      <c r="L11" s="7" t="s">
        <v>38</v>
      </c>
    </row>
    <row r="14" spans="2:12" s="7" customFormat="1" x14ac:dyDescent="0.2">
      <c r="B14" s="7" t="s">
        <v>371</v>
      </c>
    </row>
    <row r="16" spans="2:12" x14ac:dyDescent="0.2">
      <c r="B16" s="1" t="s">
        <v>95</v>
      </c>
    </row>
    <row r="17" spans="2:16" x14ac:dyDescent="0.2">
      <c r="B17" s="2" t="s">
        <v>96</v>
      </c>
      <c r="F17" s="2" t="s">
        <v>372</v>
      </c>
      <c r="H17" s="35">
        <f>'Variabel tarief elektriciteit'!H18</f>
        <v>0.74350000000000005</v>
      </c>
      <c r="J17" s="2" t="s">
        <v>374</v>
      </c>
      <c r="L17" s="2" t="s">
        <v>375</v>
      </c>
      <c r="M17" s="169"/>
      <c r="N17" s="36"/>
      <c r="O17" s="162"/>
    </row>
    <row r="18" spans="2:16" x14ac:dyDescent="0.2">
      <c r="B18" s="2" t="s">
        <v>373</v>
      </c>
      <c r="F18" s="2" t="s">
        <v>372</v>
      </c>
      <c r="H18" s="37">
        <f>'Variabel tarief elektriciteit'!H24</f>
        <v>0.33923275368086037</v>
      </c>
      <c r="J18" s="2" t="s">
        <v>98</v>
      </c>
      <c r="L18" s="2" t="s">
        <v>605</v>
      </c>
      <c r="M18" s="36"/>
      <c r="N18" s="36"/>
      <c r="O18" s="23"/>
      <c r="P18" s="36"/>
    </row>
    <row r="19" spans="2:16" x14ac:dyDescent="0.2">
      <c r="H19" s="38"/>
      <c r="M19" s="38"/>
      <c r="N19" s="36"/>
      <c r="O19" s="23"/>
    </row>
    <row r="20" spans="2:16" x14ac:dyDescent="0.2">
      <c r="B20" s="1" t="s">
        <v>99</v>
      </c>
      <c r="H20" s="38"/>
      <c r="M20" s="38"/>
      <c r="N20" s="36"/>
      <c r="O20" s="23"/>
    </row>
    <row r="21" spans="2:16" x14ac:dyDescent="0.2">
      <c r="B21" s="2" t="s">
        <v>376</v>
      </c>
      <c r="F21" s="2" t="s">
        <v>372</v>
      </c>
      <c r="H21" s="35">
        <f>'Variabel tarief elektriciteit'!H43</f>
        <v>0.35749999999999998</v>
      </c>
      <c r="J21" s="2" t="s">
        <v>377</v>
      </c>
      <c r="M21" s="169"/>
      <c r="N21" s="36"/>
      <c r="O21" s="23"/>
    </row>
    <row r="22" spans="2:16" x14ac:dyDescent="0.2">
      <c r="B22" s="2" t="s">
        <v>100</v>
      </c>
      <c r="F22" s="2" t="s">
        <v>372</v>
      </c>
      <c r="H22" s="35">
        <f>'Vaste tarieven elektriciteit'!H48</f>
        <v>0.6371</v>
      </c>
      <c r="J22" s="2" t="s">
        <v>377</v>
      </c>
      <c r="M22" s="169"/>
      <c r="N22" s="36"/>
      <c r="O22" s="23"/>
    </row>
    <row r="23" spans="2:16" x14ac:dyDescent="0.2">
      <c r="N23" s="162"/>
    </row>
    <row r="24" spans="2:16" x14ac:dyDescent="0.2">
      <c r="B24" s="1" t="s">
        <v>101</v>
      </c>
      <c r="N24" s="162"/>
    </row>
    <row r="25" spans="2:16" x14ac:dyDescent="0.2">
      <c r="B25" s="1" t="s">
        <v>102</v>
      </c>
      <c r="C25" s="1" t="s">
        <v>103</v>
      </c>
      <c r="L25" s="11"/>
      <c r="N25" s="162"/>
    </row>
    <row r="26" spans="2:16" x14ac:dyDescent="0.2">
      <c r="B26" s="2" t="s">
        <v>104</v>
      </c>
      <c r="C26" s="40">
        <v>3.1</v>
      </c>
      <c r="F26" s="2" t="s">
        <v>378</v>
      </c>
      <c r="H26" s="41">
        <f>'Vaste tarieven elektriciteit'!H28</f>
        <v>41.03958712419503</v>
      </c>
      <c r="J26" s="2" t="s">
        <v>374</v>
      </c>
      <c r="M26" s="170"/>
      <c r="N26" s="162"/>
    </row>
    <row r="27" spans="2:16" x14ac:dyDescent="0.2">
      <c r="B27" s="2" t="s">
        <v>105</v>
      </c>
      <c r="C27" s="40">
        <v>4.4000000000000004</v>
      </c>
      <c r="F27" s="2" t="s">
        <v>378</v>
      </c>
      <c r="H27" s="41">
        <f>'Vaste tarieven elektriciteit'!H29</f>
        <v>58.249736563373595</v>
      </c>
      <c r="J27" s="2" t="s">
        <v>374</v>
      </c>
      <c r="M27" s="170"/>
      <c r="N27" s="162"/>
    </row>
    <row r="28" spans="2:16" x14ac:dyDescent="0.2">
      <c r="B28" s="2" t="s">
        <v>106</v>
      </c>
      <c r="C28" s="40">
        <v>4.4000000000000004</v>
      </c>
      <c r="F28" s="2" t="s">
        <v>378</v>
      </c>
      <c r="H28" s="41">
        <f>'Vaste tarieven elektriciteit'!H30</f>
        <v>58.249736563373595</v>
      </c>
      <c r="J28" s="2" t="s">
        <v>374</v>
      </c>
      <c r="M28" s="170"/>
      <c r="N28" s="162"/>
    </row>
    <row r="29" spans="2:16" x14ac:dyDescent="0.2">
      <c r="B29" s="2" t="s">
        <v>107</v>
      </c>
      <c r="C29" s="40">
        <v>11.4</v>
      </c>
      <c r="F29" s="2" t="s">
        <v>378</v>
      </c>
      <c r="H29" s="41">
        <f>'Vaste tarieven elektriciteit'!H31</f>
        <v>150.91977200510431</v>
      </c>
      <c r="J29" s="2" t="s">
        <v>374</v>
      </c>
      <c r="M29" s="170"/>
      <c r="N29" s="162"/>
    </row>
    <row r="30" spans="2:16" x14ac:dyDescent="0.2">
      <c r="B30" s="2" t="s">
        <v>108</v>
      </c>
      <c r="C30" s="40">
        <v>19.2</v>
      </c>
      <c r="F30" s="2" t="s">
        <v>378</v>
      </c>
      <c r="H30" s="41">
        <f>'Vaste tarieven elektriciteit'!H32</f>
        <v>254.18066864017567</v>
      </c>
      <c r="J30" s="2" t="s">
        <v>374</v>
      </c>
      <c r="M30" s="170"/>
      <c r="N30" s="162"/>
    </row>
    <row r="31" spans="2:16" x14ac:dyDescent="0.2">
      <c r="B31" s="2" t="s">
        <v>109</v>
      </c>
      <c r="C31" s="40">
        <v>30.4</v>
      </c>
      <c r="F31" s="2" t="s">
        <v>378</v>
      </c>
      <c r="H31" s="41">
        <f>'Vaste tarieven elektriciteit'!H33</f>
        <v>402.45272534694482</v>
      </c>
      <c r="J31" s="2" t="s">
        <v>374</v>
      </c>
      <c r="M31" s="170"/>
      <c r="N31" s="162"/>
    </row>
    <row r="32" spans="2:16" x14ac:dyDescent="0.2">
      <c r="B32" s="2" t="s">
        <v>110</v>
      </c>
      <c r="C32" s="40">
        <v>38.1</v>
      </c>
      <c r="F32" s="2" t="s">
        <v>378</v>
      </c>
      <c r="H32" s="41">
        <f>'Vaste tarieven elektriciteit'!H34</f>
        <v>504.38976433284864</v>
      </c>
      <c r="J32" s="2" t="s">
        <v>374</v>
      </c>
      <c r="M32" s="170"/>
      <c r="N32" s="162"/>
    </row>
    <row r="33" spans="2:14" x14ac:dyDescent="0.2">
      <c r="B33" s="2" t="s">
        <v>111</v>
      </c>
      <c r="C33" s="40">
        <v>47.6</v>
      </c>
      <c r="F33" s="2" t="s">
        <v>378</v>
      </c>
      <c r="H33" s="41">
        <f>'Vaste tarieven elektriciteit'!H35</f>
        <v>630.15624100376886</v>
      </c>
      <c r="J33" s="2" t="s">
        <v>374</v>
      </c>
      <c r="M33" s="170"/>
      <c r="N33" s="162"/>
    </row>
    <row r="34" spans="2:14" x14ac:dyDescent="0.2">
      <c r="B34" s="2" t="s">
        <v>112</v>
      </c>
      <c r="C34" s="40">
        <v>52.5</v>
      </c>
      <c r="F34" s="2" t="s">
        <v>378</v>
      </c>
      <c r="H34" s="41">
        <f>'Vaste tarieven elektriciteit'!H36</f>
        <v>695.02526581298036</v>
      </c>
      <c r="J34" s="2" t="s">
        <v>374</v>
      </c>
      <c r="M34" s="170"/>
      <c r="N34" s="162"/>
    </row>
    <row r="35" spans="2:14" x14ac:dyDescent="0.2">
      <c r="B35" s="2" t="s">
        <v>113</v>
      </c>
      <c r="C35" s="40">
        <v>60.9</v>
      </c>
      <c r="F35" s="2" t="s">
        <v>378</v>
      </c>
      <c r="H35" s="41">
        <f>'Vaste tarieven elektriciteit'!H37</f>
        <v>806.22930834305726</v>
      </c>
      <c r="J35" s="2" t="s">
        <v>374</v>
      </c>
      <c r="M35" s="170"/>
      <c r="N35" s="162"/>
    </row>
    <row r="36" spans="2:14" x14ac:dyDescent="0.2">
      <c r="B36" s="2" t="s">
        <v>114</v>
      </c>
      <c r="C36" s="40">
        <v>65.7</v>
      </c>
      <c r="F36" s="2" t="s">
        <v>378</v>
      </c>
      <c r="H36" s="41">
        <f>'Vaste tarieven elektriciteit'!H38</f>
        <v>869.77447550310114</v>
      </c>
      <c r="J36" s="2" t="s">
        <v>374</v>
      </c>
      <c r="M36" s="170"/>
      <c r="N36" s="162"/>
    </row>
    <row r="37" spans="2:14" x14ac:dyDescent="0.2">
      <c r="B37" s="2" t="s">
        <v>115</v>
      </c>
      <c r="C37" s="40">
        <v>76.099999999999994</v>
      </c>
      <c r="F37" s="2" t="s">
        <v>378</v>
      </c>
      <c r="H37" s="41">
        <f>'Vaste tarieven elektriciteit'!H39</f>
        <v>1007.4556710165295</v>
      </c>
      <c r="J37" s="2" t="s">
        <v>374</v>
      </c>
      <c r="M37" s="170"/>
      <c r="N37" s="162"/>
    </row>
    <row r="38" spans="2:14" x14ac:dyDescent="0.2">
      <c r="B38" s="2" t="s">
        <v>116</v>
      </c>
      <c r="C38" s="40">
        <v>1</v>
      </c>
      <c r="F38" s="2" t="s">
        <v>379</v>
      </c>
      <c r="H38" s="41">
        <f>'Vaste tarieven elektriciteit'!H40</f>
        <v>13.238576491675817</v>
      </c>
      <c r="J38" s="2" t="s">
        <v>374</v>
      </c>
      <c r="L38" s="2" t="s">
        <v>383</v>
      </c>
      <c r="M38" s="170"/>
      <c r="N38" s="162"/>
    </row>
    <row r="39" spans="2:14" x14ac:dyDescent="0.2">
      <c r="N39" s="162"/>
    </row>
    <row r="40" spans="2:14" x14ac:dyDescent="0.2">
      <c r="B40" s="1" t="s">
        <v>117</v>
      </c>
      <c r="N40" s="162"/>
    </row>
    <row r="41" spans="2:14" x14ac:dyDescent="0.2">
      <c r="B41" s="2" t="s">
        <v>118</v>
      </c>
      <c r="F41" s="2" t="s">
        <v>380</v>
      </c>
      <c r="H41" s="41">
        <f>'Vaste tarieven elektriciteit'!H54</f>
        <v>40</v>
      </c>
      <c r="J41" s="2" t="s">
        <v>374</v>
      </c>
      <c r="M41" s="170"/>
      <c r="N41" s="162"/>
    </row>
    <row r="42" spans="2:14" x14ac:dyDescent="0.2">
      <c r="B42" s="2" t="s">
        <v>120</v>
      </c>
      <c r="F42" s="2" t="s">
        <v>380</v>
      </c>
      <c r="H42" s="41">
        <f>'Vaste tarieven elektriciteit'!H58</f>
        <v>1750.1930329329507</v>
      </c>
      <c r="J42" s="2" t="s">
        <v>374</v>
      </c>
      <c r="M42" s="170"/>
      <c r="N42" s="162"/>
    </row>
    <row r="43" spans="2:14" x14ac:dyDescent="0.2">
      <c r="B43" s="3" t="s">
        <v>121</v>
      </c>
      <c r="N43" s="36"/>
    </row>
    <row r="44" spans="2:14" x14ac:dyDescent="0.2">
      <c r="N44" s="36"/>
    </row>
    <row r="45" spans="2:14" x14ac:dyDescent="0.2">
      <c r="N45" s="36"/>
    </row>
    <row r="46" spans="2:14" s="7" customFormat="1" x14ac:dyDescent="0.2">
      <c r="B46" s="7" t="s">
        <v>381</v>
      </c>
    </row>
    <row r="47" spans="2:14" x14ac:dyDescent="0.2">
      <c r="N47" s="36"/>
    </row>
    <row r="48" spans="2:14" x14ac:dyDescent="0.2">
      <c r="B48" s="1" t="s">
        <v>95</v>
      </c>
      <c r="N48" s="36"/>
    </row>
    <row r="49" spans="1:15" x14ac:dyDescent="0.2">
      <c r="B49" s="2" t="s">
        <v>122</v>
      </c>
      <c r="F49" s="2" t="s">
        <v>382</v>
      </c>
      <c r="H49" s="35">
        <f>'Variabel tarief drinkwater'!H26</f>
        <v>3.6711999999999998</v>
      </c>
      <c r="J49" s="2" t="s">
        <v>374</v>
      </c>
      <c r="M49" s="169"/>
      <c r="N49" s="134"/>
      <c r="O49" s="162"/>
    </row>
    <row r="50" spans="1:15" x14ac:dyDescent="0.2">
      <c r="H50" s="38"/>
      <c r="M50" s="38"/>
      <c r="N50" s="134"/>
      <c r="O50" s="162"/>
    </row>
    <row r="51" spans="1:15" x14ac:dyDescent="0.2">
      <c r="B51" s="1" t="s">
        <v>99</v>
      </c>
      <c r="H51" s="38"/>
      <c r="M51" s="38"/>
      <c r="N51" s="134"/>
      <c r="O51" s="162"/>
    </row>
    <row r="52" spans="1:15" x14ac:dyDescent="0.2">
      <c r="B52" s="2" t="s">
        <v>124</v>
      </c>
      <c r="F52" s="2" t="s">
        <v>382</v>
      </c>
      <c r="H52" s="178">
        <f>'Variabel tarief drinkwater'!H35</f>
        <v>4.165</v>
      </c>
      <c r="J52" s="2" t="s">
        <v>374</v>
      </c>
      <c r="M52" s="169"/>
      <c r="N52" s="134"/>
      <c r="O52" s="162"/>
    </row>
    <row r="53" spans="1:15" x14ac:dyDescent="0.2">
      <c r="A53" s="175"/>
      <c r="B53" s="2" t="s">
        <v>125</v>
      </c>
      <c r="F53" s="2" t="s">
        <v>382</v>
      </c>
      <c r="H53" s="178">
        <f>'Vaste tarieven drinkwater'!H48</f>
        <v>16.981999999999999</v>
      </c>
      <c r="J53" s="2" t="s">
        <v>374</v>
      </c>
      <c r="M53" s="169"/>
      <c r="N53" s="134"/>
      <c r="O53" s="162"/>
    </row>
    <row r="54" spans="1:15" x14ac:dyDescent="0.2">
      <c r="N54" s="162"/>
    </row>
    <row r="55" spans="1:15" x14ac:dyDescent="0.2">
      <c r="B55" s="1" t="s">
        <v>126</v>
      </c>
      <c r="N55" s="162"/>
    </row>
    <row r="56" spans="1:15" x14ac:dyDescent="0.2">
      <c r="B56" s="1" t="s">
        <v>102</v>
      </c>
      <c r="N56" s="162"/>
    </row>
    <row r="57" spans="1:15" x14ac:dyDescent="0.2">
      <c r="B57" s="2" t="s">
        <v>127</v>
      </c>
      <c r="F57" s="2" t="s">
        <v>378</v>
      </c>
      <c r="H57" s="41">
        <f>'Vaste tarieven drinkwater'!H28</f>
        <v>47.135376252282725</v>
      </c>
      <c r="J57" s="2" t="s">
        <v>374</v>
      </c>
      <c r="M57" s="170"/>
      <c r="N57" s="162"/>
    </row>
    <row r="58" spans="1:15" x14ac:dyDescent="0.2">
      <c r="B58" s="2" t="s">
        <v>128</v>
      </c>
      <c r="F58" s="2" t="s">
        <v>378</v>
      </c>
      <c r="H58" s="41">
        <f>'Vaste tarieven drinkwater'!H29</f>
        <v>106.05459656763614</v>
      </c>
      <c r="J58" s="2" t="s">
        <v>374</v>
      </c>
      <c r="M58" s="170"/>
      <c r="N58" s="162"/>
    </row>
    <row r="59" spans="1:15" x14ac:dyDescent="0.2">
      <c r="B59" s="2" t="s">
        <v>129</v>
      </c>
      <c r="F59" s="2" t="s">
        <v>378</v>
      </c>
      <c r="H59" s="41">
        <f>'Vaste tarieven drinkwater'!H30</f>
        <v>188.5415050091309</v>
      </c>
      <c r="J59" s="2" t="s">
        <v>374</v>
      </c>
      <c r="M59" s="170"/>
      <c r="N59" s="162"/>
    </row>
    <row r="60" spans="1:15" x14ac:dyDescent="0.2">
      <c r="B60" s="42" t="s">
        <v>130</v>
      </c>
      <c r="F60" s="2" t="s">
        <v>378</v>
      </c>
      <c r="H60" s="41">
        <f>'Vaste tarieven drinkwater'!H31</f>
        <v>294.59610157676701</v>
      </c>
      <c r="J60" s="2" t="s">
        <v>374</v>
      </c>
      <c r="M60" s="170"/>
      <c r="N60" s="162"/>
    </row>
    <row r="61" spans="1:15" x14ac:dyDescent="0.2">
      <c r="B61" s="2" t="s">
        <v>131</v>
      </c>
      <c r="F61" s="2" t="s">
        <v>378</v>
      </c>
      <c r="H61" s="41">
        <f>'Vaste tarieven drinkwater'!H32</f>
        <v>754.16602003652361</v>
      </c>
      <c r="J61" s="2" t="s">
        <v>374</v>
      </c>
      <c r="M61" s="170"/>
      <c r="N61" s="162"/>
    </row>
    <row r="62" spans="1:15" x14ac:dyDescent="0.2">
      <c r="B62" s="2" t="s">
        <v>132</v>
      </c>
      <c r="F62" s="2" t="s">
        <v>378</v>
      </c>
      <c r="H62" s="41">
        <f>'Vaste tarieven drinkwater'!H33</f>
        <v>3016.6640801460944</v>
      </c>
      <c r="J62" s="2" t="s">
        <v>374</v>
      </c>
      <c r="M62" s="170"/>
      <c r="N62" s="162"/>
    </row>
    <row r="63" spans="1:15" x14ac:dyDescent="0.2">
      <c r="N63" s="162"/>
    </row>
    <row r="64" spans="1:15" x14ac:dyDescent="0.2">
      <c r="B64" s="1" t="s">
        <v>117</v>
      </c>
      <c r="N64" s="162"/>
    </row>
    <row r="65" spans="2:14" x14ac:dyDescent="0.2">
      <c r="B65" s="2" t="s">
        <v>118</v>
      </c>
      <c r="F65" s="2" t="s">
        <v>380</v>
      </c>
      <c r="H65" s="41">
        <f>'Vaste tarieven drinkwater'!H54</f>
        <v>40</v>
      </c>
      <c r="J65" s="2" t="s">
        <v>374</v>
      </c>
      <c r="M65" s="170"/>
      <c r="N65" s="162"/>
    </row>
    <row r="66" spans="2:14" x14ac:dyDescent="0.2">
      <c r="B66" s="2" t="s">
        <v>120</v>
      </c>
      <c r="F66" s="2" t="s">
        <v>380</v>
      </c>
      <c r="H66" s="41">
        <f>'Vaste tarieven drinkwater'!H58</f>
        <v>1191.5936187033803</v>
      </c>
      <c r="J66" s="2" t="s">
        <v>374</v>
      </c>
      <c r="M66" s="170"/>
      <c r="N66" s="162"/>
    </row>
    <row r="67" spans="2:14" x14ac:dyDescent="0.2">
      <c r="B67" s="3" t="s">
        <v>121</v>
      </c>
    </row>
    <row r="71" spans="2:14" x14ac:dyDescent="0.2">
      <c r="B71" s="3" t="s">
        <v>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124F-9EB4-496A-A21B-24CB5CC56A69}">
  <sheetPr>
    <tabColor rgb="FFCCFFFF"/>
  </sheetPr>
  <dimension ref="B2:J93"/>
  <sheetViews>
    <sheetView showGridLines="0" topLeftCell="A6" zoomScale="85" zoomScaleNormal="85" workbookViewId="0"/>
  </sheetViews>
  <sheetFormatPr defaultRowHeight="12.75" x14ac:dyDescent="0.2"/>
  <cols>
    <col min="1" max="2" width="2.85546875" style="2" customWidth="1"/>
    <col min="3" max="3" width="45.42578125" style="2" customWidth="1"/>
    <col min="4" max="4" width="16.85546875" style="2" customWidth="1"/>
    <col min="5" max="5" width="4.85546875" style="2" customWidth="1"/>
    <col min="6" max="6" width="26" style="2" customWidth="1"/>
    <col min="7" max="7" width="13" style="2" customWidth="1"/>
    <col min="8" max="8" width="2.85546875" style="2" customWidth="1"/>
    <col min="9" max="9" width="13" style="2" customWidth="1"/>
    <col min="10" max="10" width="4.85546875" style="2" customWidth="1"/>
    <col min="11" max="15" width="9.140625" style="2"/>
    <col min="16" max="16" width="10.28515625" style="2" bestFit="1" customWidth="1"/>
    <col min="17" max="16384" width="9.140625" style="2"/>
  </cols>
  <sheetData>
    <row r="2" spans="2:9" s="6" customFormat="1" ht="18" x14ac:dyDescent="0.2">
      <c r="C2" s="6" t="s">
        <v>133</v>
      </c>
    </row>
    <row r="3" spans="2:9" customFormat="1" x14ac:dyDescent="0.2"/>
    <row r="4" spans="2:9" customFormat="1" x14ac:dyDescent="0.2">
      <c r="C4" s="17" t="s">
        <v>11</v>
      </c>
    </row>
    <row r="5" spans="2:9" customFormat="1" x14ac:dyDescent="0.2">
      <c r="C5" t="s">
        <v>384</v>
      </c>
    </row>
    <row r="6" spans="2:9" customFormat="1" x14ac:dyDescent="0.2"/>
    <row r="7" spans="2:9" s="7" customFormat="1" x14ac:dyDescent="0.2">
      <c r="C7" s="7" t="s">
        <v>134</v>
      </c>
      <c r="F7" s="7" t="s">
        <v>19</v>
      </c>
    </row>
    <row r="8" spans="2:9" customFormat="1" x14ac:dyDescent="0.2"/>
    <row r="9" spans="2:9" customFormat="1" x14ac:dyDescent="0.2">
      <c r="C9" t="s">
        <v>135</v>
      </c>
      <c r="D9" s="2"/>
      <c r="E9" s="2"/>
      <c r="F9" s="2" t="s">
        <v>372</v>
      </c>
      <c r="G9" s="43">
        <f>Resultaat!H17</f>
        <v>0.74350000000000005</v>
      </c>
    </row>
    <row r="10" spans="2:9" customFormat="1" ht="13.5" thickBot="1" x14ac:dyDescent="0.25">
      <c r="G10" s="44"/>
    </row>
    <row r="11" spans="2:9" customFormat="1" x14ac:dyDescent="0.2">
      <c r="B11" s="45"/>
      <c r="C11" s="46"/>
      <c r="D11" s="46"/>
      <c r="E11" s="46"/>
      <c r="F11" s="46"/>
      <c r="G11" s="47"/>
      <c r="H11" s="48"/>
    </row>
    <row r="12" spans="2:9" s="7" customFormat="1" x14ac:dyDescent="0.2">
      <c r="B12" s="49"/>
      <c r="C12" s="7" t="s">
        <v>385</v>
      </c>
      <c r="F12" s="7" t="s">
        <v>19</v>
      </c>
      <c r="G12" s="50" t="s">
        <v>136</v>
      </c>
      <c r="H12" s="51"/>
    </row>
    <row r="13" spans="2:9" customFormat="1" x14ac:dyDescent="0.2">
      <c r="B13" s="52"/>
      <c r="G13" s="53"/>
      <c r="H13" s="54"/>
    </row>
    <row r="14" spans="2:9" customFormat="1" x14ac:dyDescent="0.2">
      <c r="B14" s="52"/>
      <c r="C14" s="1" t="s">
        <v>386</v>
      </c>
      <c r="D14" s="2"/>
      <c r="E14" s="2"/>
      <c r="F14" s="2"/>
      <c r="G14" s="55"/>
      <c r="H14" s="56"/>
      <c r="I14" s="2"/>
    </row>
    <row r="15" spans="2:9" customFormat="1" x14ac:dyDescent="0.2">
      <c r="B15" s="52"/>
      <c r="C15" s="2" t="s">
        <v>137</v>
      </c>
      <c r="D15" s="2"/>
      <c r="E15" s="2"/>
      <c r="F15" s="2" t="s">
        <v>372</v>
      </c>
      <c r="G15" s="57">
        <f>Resultaat!H21</f>
        <v>0.35749999999999998</v>
      </c>
      <c r="H15" s="56"/>
    </row>
    <row r="16" spans="2:9" customFormat="1" x14ac:dyDescent="0.2">
      <c r="B16" s="52"/>
      <c r="C16" s="2" t="s">
        <v>100</v>
      </c>
      <c r="D16" s="2"/>
      <c r="E16" s="2"/>
      <c r="F16" s="2" t="s">
        <v>372</v>
      </c>
      <c r="G16" s="57">
        <f>Resultaat!H22</f>
        <v>0.6371</v>
      </c>
      <c r="H16" s="56"/>
    </row>
    <row r="17" spans="2:9" customFormat="1" x14ac:dyDescent="0.2">
      <c r="B17" s="52"/>
      <c r="C17" s="2"/>
      <c r="D17" s="2"/>
      <c r="E17" s="2"/>
      <c r="F17" s="2"/>
      <c r="G17" s="58"/>
      <c r="H17" s="56"/>
      <c r="I17" s="2"/>
    </row>
    <row r="18" spans="2:9" customFormat="1" x14ac:dyDescent="0.2">
      <c r="B18" s="52"/>
      <c r="C18" s="1" t="s">
        <v>138</v>
      </c>
      <c r="D18" s="2"/>
      <c r="E18" s="2"/>
      <c r="F18" s="2"/>
      <c r="G18" s="58"/>
      <c r="H18" s="56"/>
      <c r="I18" s="2"/>
    </row>
    <row r="19" spans="2:9" customFormat="1" x14ac:dyDescent="0.2">
      <c r="B19" s="52"/>
      <c r="C19" s="2" t="s">
        <v>102</v>
      </c>
      <c r="D19" s="59" t="s">
        <v>103</v>
      </c>
      <c r="E19" s="1"/>
      <c r="F19" s="2"/>
      <c r="G19" s="58"/>
      <c r="H19" s="56"/>
      <c r="I19" s="2"/>
    </row>
    <row r="20" spans="2:9" customFormat="1" x14ac:dyDescent="0.2">
      <c r="B20" s="52"/>
      <c r="C20" s="2" t="s">
        <v>104</v>
      </c>
      <c r="D20" s="40">
        <v>3.1</v>
      </c>
      <c r="E20" s="60"/>
      <c r="F20" s="2" t="s">
        <v>378</v>
      </c>
      <c r="G20" s="61">
        <f>Resultaat!H26</f>
        <v>41.03958712419503</v>
      </c>
      <c r="H20" s="56"/>
    </row>
    <row r="21" spans="2:9" customFormat="1" x14ac:dyDescent="0.2">
      <c r="B21" s="52"/>
      <c r="C21" s="2" t="s">
        <v>105</v>
      </c>
      <c r="D21" s="40">
        <v>4.4000000000000004</v>
      </c>
      <c r="E21" s="60"/>
      <c r="F21" s="2" t="s">
        <v>378</v>
      </c>
      <c r="G21" s="61">
        <f>Resultaat!H27</f>
        <v>58.249736563373595</v>
      </c>
      <c r="H21" s="56"/>
    </row>
    <row r="22" spans="2:9" customFormat="1" x14ac:dyDescent="0.2">
      <c r="B22" s="52"/>
      <c r="C22" s="2" t="s">
        <v>106</v>
      </c>
      <c r="D22" s="40">
        <v>4.4000000000000004</v>
      </c>
      <c r="E22" s="60"/>
      <c r="F22" s="2" t="s">
        <v>378</v>
      </c>
      <c r="G22" s="61">
        <f>Resultaat!H28</f>
        <v>58.249736563373595</v>
      </c>
      <c r="H22" s="56"/>
    </row>
    <row r="23" spans="2:9" customFormat="1" x14ac:dyDescent="0.2">
      <c r="B23" s="52"/>
      <c r="C23" s="2" t="s">
        <v>107</v>
      </c>
      <c r="D23" s="40">
        <v>11.4</v>
      </c>
      <c r="E23" s="60"/>
      <c r="F23" s="2" t="s">
        <v>378</v>
      </c>
      <c r="G23" s="61">
        <f>Resultaat!H29</f>
        <v>150.91977200510431</v>
      </c>
      <c r="H23" s="56"/>
    </row>
    <row r="24" spans="2:9" customFormat="1" x14ac:dyDescent="0.2">
      <c r="B24" s="52"/>
      <c r="C24" s="2" t="s">
        <v>108</v>
      </c>
      <c r="D24" s="40">
        <v>19.2</v>
      </c>
      <c r="E24" s="60"/>
      <c r="F24" s="2" t="s">
        <v>378</v>
      </c>
      <c r="G24" s="61">
        <f>Resultaat!H30</f>
        <v>254.18066864017567</v>
      </c>
      <c r="H24" s="56"/>
    </row>
    <row r="25" spans="2:9" customFormat="1" x14ac:dyDescent="0.2">
      <c r="B25" s="52"/>
      <c r="C25" s="2" t="s">
        <v>109</v>
      </c>
      <c r="D25" s="40">
        <v>30.4</v>
      </c>
      <c r="E25" s="60"/>
      <c r="F25" s="2" t="s">
        <v>378</v>
      </c>
      <c r="G25" s="61">
        <f>Resultaat!H31</f>
        <v>402.45272534694482</v>
      </c>
      <c r="H25" s="56"/>
    </row>
    <row r="26" spans="2:9" customFormat="1" x14ac:dyDescent="0.2">
      <c r="B26" s="52"/>
      <c r="C26" s="2" t="s">
        <v>110</v>
      </c>
      <c r="D26" s="40">
        <v>38.1</v>
      </c>
      <c r="E26" s="60"/>
      <c r="F26" s="2" t="s">
        <v>378</v>
      </c>
      <c r="G26" s="61">
        <f>Resultaat!H32</f>
        <v>504.38976433284864</v>
      </c>
      <c r="H26" s="56"/>
    </row>
    <row r="27" spans="2:9" customFormat="1" x14ac:dyDescent="0.2">
      <c r="B27" s="52"/>
      <c r="C27" s="2" t="s">
        <v>111</v>
      </c>
      <c r="D27" s="40">
        <v>47.6</v>
      </c>
      <c r="E27" s="60"/>
      <c r="F27" s="2" t="s">
        <v>378</v>
      </c>
      <c r="G27" s="61">
        <f>Resultaat!H33</f>
        <v>630.15624100376886</v>
      </c>
      <c r="H27" s="56"/>
    </row>
    <row r="28" spans="2:9" customFormat="1" x14ac:dyDescent="0.2">
      <c r="B28" s="52"/>
      <c r="C28" s="2" t="s">
        <v>112</v>
      </c>
      <c r="D28" s="40">
        <v>52.5</v>
      </c>
      <c r="E28" s="60"/>
      <c r="F28" s="2" t="s">
        <v>378</v>
      </c>
      <c r="G28" s="61">
        <f>Resultaat!H34</f>
        <v>695.02526581298036</v>
      </c>
      <c r="H28" s="56"/>
    </row>
    <row r="29" spans="2:9" customFormat="1" x14ac:dyDescent="0.2">
      <c r="B29" s="52"/>
      <c r="C29" s="2" t="s">
        <v>113</v>
      </c>
      <c r="D29" s="40">
        <v>60.9</v>
      </c>
      <c r="E29" s="60"/>
      <c r="F29" s="2" t="s">
        <v>378</v>
      </c>
      <c r="G29" s="61">
        <f>Resultaat!H35</f>
        <v>806.22930834305726</v>
      </c>
      <c r="H29" s="56"/>
    </row>
    <row r="30" spans="2:9" customFormat="1" x14ac:dyDescent="0.2">
      <c r="B30" s="52"/>
      <c r="C30" s="2" t="s">
        <v>114</v>
      </c>
      <c r="D30" s="40">
        <v>65.7</v>
      </c>
      <c r="E30" s="60"/>
      <c r="F30" s="2" t="s">
        <v>378</v>
      </c>
      <c r="G30" s="61">
        <f>Resultaat!H36</f>
        <v>869.77447550310114</v>
      </c>
      <c r="H30" s="56"/>
    </row>
    <row r="31" spans="2:9" customFormat="1" x14ac:dyDescent="0.2">
      <c r="B31" s="52"/>
      <c r="C31" s="2" t="s">
        <v>115</v>
      </c>
      <c r="D31" s="40">
        <v>76.099999999999994</v>
      </c>
      <c r="E31" s="60"/>
      <c r="F31" s="2" t="s">
        <v>378</v>
      </c>
      <c r="G31" s="61">
        <f>Resultaat!H37</f>
        <v>1007.4556710165295</v>
      </c>
      <c r="H31" s="56"/>
    </row>
    <row r="32" spans="2:9" customFormat="1" x14ac:dyDescent="0.2">
      <c r="B32" s="52"/>
      <c r="C32" s="2" t="s">
        <v>139</v>
      </c>
      <c r="D32" s="62">
        <v>1</v>
      </c>
      <c r="E32" s="62"/>
      <c r="F32" s="2" t="s">
        <v>379</v>
      </c>
      <c r="G32" s="61">
        <f>Resultaat!H38</f>
        <v>13.238576491675817</v>
      </c>
      <c r="H32" s="56"/>
    </row>
    <row r="33" spans="2:10" customFormat="1" x14ac:dyDescent="0.2">
      <c r="B33" s="52"/>
      <c r="C33" s="2"/>
      <c r="D33" s="2"/>
      <c r="E33" s="2"/>
      <c r="F33" s="2"/>
      <c r="G33" s="58"/>
      <c r="H33" s="56"/>
    </row>
    <row r="34" spans="2:10" customFormat="1" x14ac:dyDescent="0.2">
      <c r="B34" s="52"/>
      <c r="C34" s="1" t="s">
        <v>117</v>
      </c>
      <c r="D34" s="2"/>
      <c r="E34" s="2"/>
      <c r="F34" s="2"/>
      <c r="G34" s="58"/>
      <c r="H34" s="56"/>
    </row>
    <row r="35" spans="2:10" customFormat="1" x14ac:dyDescent="0.2">
      <c r="B35" s="52"/>
      <c r="C35" s="2" t="s">
        <v>118</v>
      </c>
      <c r="D35" s="2"/>
      <c r="E35" s="2"/>
      <c r="F35" s="2" t="s">
        <v>380</v>
      </c>
      <c r="G35" s="61">
        <f>Resultaat!H41</f>
        <v>40</v>
      </c>
      <c r="H35" s="56"/>
    </row>
    <row r="36" spans="2:10" customFormat="1" x14ac:dyDescent="0.2">
      <c r="B36" s="52"/>
      <c r="C36" s="2" t="s">
        <v>120</v>
      </c>
      <c r="D36" s="2"/>
      <c r="E36" s="2"/>
      <c r="F36" s="2" t="s">
        <v>380</v>
      </c>
      <c r="G36" s="61">
        <f>Resultaat!H42</f>
        <v>1750.1930329329507</v>
      </c>
      <c r="H36" s="56"/>
    </row>
    <row r="37" spans="2:10" customFormat="1" x14ac:dyDescent="0.2">
      <c r="B37" s="52"/>
      <c r="C37" s="3" t="s">
        <v>121</v>
      </c>
      <c r="D37" s="2"/>
      <c r="E37" s="2"/>
      <c r="F37" s="2"/>
      <c r="G37" s="2"/>
      <c r="H37" s="56"/>
      <c r="I37" s="2"/>
    </row>
    <row r="38" spans="2:10" customFormat="1" ht="13.5" thickBot="1" x14ac:dyDescent="0.25">
      <c r="B38" s="63"/>
      <c r="C38" s="64"/>
      <c r="D38" s="65"/>
      <c r="E38" s="65"/>
      <c r="F38" s="65"/>
      <c r="G38" s="65"/>
      <c r="H38" s="66"/>
      <c r="I38" s="2"/>
    </row>
    <row r="39" spans="2:10" customFormat="1" ht="13.5" thickBot="1" x14ac:dyDescent="0.25"/>
    <row r="40" spans="2:10" customFormat="1" x14ac:dyDescent="0.2">
      <c r="B40" s="45"/>
      <c r="C40" s="46"/>
      <c r="D40" s="46"/>
      <c r="E40" s="46"/>
      <c r="F40" s="46"/>
      <c r="G40" s="46"/>
      <c r="H40" s="46"/>
      <c r="I40" s="46"/>
      <c r="J40" s="48"/>
    </row>
    <row r="41" spans="2:10" s="7" customFormat="1" x14ac:dyDescent="0.2">
      <c r="B41" s="49"/>
      <c r="C41" s="7" t="s">
        <v>387</v>
      </c>
      <c r="F41" s="7" t="s">
        <v>140</v>
      </c>
      <c r="J41" s="51"/>
    </row>
    <row r="42" spans="2:10" customFormat="1" x14ac:dyDescent="0.2">
      <c r="B42" s="52"/>
      <c r="J42" s="54"/>
    </row>
    <row r="43" spans="2:10" customFormat="1" x14ac:dyDescent="0.2">
      <c r="B43" s="52"/>
      <c r="C43" s="67" t="s">
        <v>141</v>
      </c>
      <c r="J43" s="54"/>
    </row>
    <row r="44" spans="2:10" customFormat="1" x14ac:dyDescent="0.2">
      <c r="B44" s="52"/>
      <c r="C44" s="2" t="s">
        <v>388</v>
      </c>
      <c r="F44" t="s">
        <v>142</v>
      </c>
      <c r="G44" s="68">
        <f>Parameters!H44</f>
        <v>6.4600000000000005E-2</v>
      </c>
      <c r="J44" s="54"/>
    </row>
    <row r="45" spans="2:10" customFormat="1" x14ac:dyDescent="0.2">
      <c r="B45" s="52"/>
      <c r="C45" s="2" t="s">
        <v>389</v>
      </c>
      <c r="F45" t="s">
        <v>142</v>
      </c>
      <c r="G45" s="68">
        <f>Parameters!H45</f>
        <v>5.7200000000000001E-2</v>
      </c>
      <c r="J45" s="54"/>
    </row>
    <row r="46" spans="2:10" customFormat="1" x14ac:dyDescent="0.2">
      <c r="B46" s="52"/>
      <c r="C46" s="2" t="s">
        <v>144</v>
      </c>
      <c r="F46" t="s">
        <v>142</v>
      </c>
      <c r="G46" s="68">
        <f>Parameters!H29</f>
        <v>8.7999999999999995E-2</v>
      </c>
      <c r="J46" s="54"/>
    </row>
    <row r="47" spans="2:10" customFormat="1" x14ac:dyDescent="0.2">
      <c r="B47" s="52"/>
      <c r="C47" s="2" t="s">
        <v>390</v>
      </c>
      <c r="F47" t="s">
        <v>142</v>
      </c>
      <c r="G47" s="68">
        <f>Parameters!H30</f>
        <v>1.9E-2</v>
      </c>
      <c r="J47" s="54"/>
    </row>
    <row r="48" spans="2:10" customFormat="1" x14ac:dyDescent="0.2">
      <c r="B48" s="52"/>
      <c r="C48" s="2" t="s">
        <v>145</v>
      </c>
      <c r="F48" t="s">
        <v>142</v>
      </c>
      <c r="G48" s="68">
        <f>Parameters!H51</f>
        <v>0.5</v>
      </c>
      <c r="J48" s="54"/>
    </row>
    <row r="49" spans="2:10" customFormat="1" x14ac:dyDescent="0.2">
      <c r="B49" s="52"/>
      <c r="J49" s="54"/>
    </row>
    <row r="50" spans="2:10" customFormat="1" ht="26.25" customHeight="1" x14ac:dyDescent="0.2">
      <c r="B50" s="52"/>
      <c r="C50" s="69" t="s">
        <v>391</v>
      </c>
      <c r="G50" s="70" t="s">
        <v>146</v>
      </c>
      <c r="I50" s="70" t="s">
        <v>147</v>
      </c>
      <c r="J50" s="54"/>
    </row>
    <row r="51" spans="2:10" customFormat="1" x14ac:dyDescent="0.2">
      <c r="B51" s="52"/>
      <c r="C51" s="2" t="s">
        <v>392</v>
      </c>
      <c r="F51" s="2" t="s">
        <v>149</v>
      </c>
      <c r="G51" s="71">
        <f>'Gegevens kosten 2022'!L32</f>
        <v>75643.334961504763</v>
      </c>
      <c r="I51" s="71">
        <f>'Gegevens kosten 2022'!M32</f>
        <v>9460213.8645966854</v>
      </c>
      <c r="J51" s="54"/>
    </row>
    <row r="52" spans="2:10" customFormat="1" x14ac:dyDescent="0.2">
      <c r="B52" s="52"/>
      <c r="C52" s="2" t="s">
        <v>393</v>
      </c>
      <c r="F52" s="2" t="s">
        <v>149</v>
      </c>
      <c r="G52" s="71">
        <f>'Gegevens kosten 2022'!L17</f>
        <v>364453.89301103319</v>
      </c>
      <c r="I52" s="71">
        <f>'Gegevens kosten 2022'!M17</f>
        <v>38075465.111224987</v>
      </c>
      <c r="J52" s="54"/>
    </row>
    <row r="53" spans="2:10" customFormat="1" x14ac:dyDescent="0.2">
      <c r="B53" s="52"/>
      <c r="C53" s="2" t="s">
        <v>394</v>
      </c>
      <c r="F53" s="2" t="s">
        <v>149</v>
      </c>
      <c r="G53" s="71">
        <f>'Gegevens kosten 2022'!L18</f>
        <v>59348.898891860561</v>
      </c>
      <c r="I53" s="71">
        <f>'Gegevens kosten 2022'!M18</f>
        <v>2951807.1632914026</v>
      </c>
      <c r="J53" s="54"/>
    </row>
    <row r="54" spans="2:10" customFormat="1" x14ac:dyDescent="0.2">
      <c r="B54" s="52"/>
      <c r="C54" s="175" t="s">
        <v>770</v>
      </c>
      <c r="F54" s="175" t="s">
        <v>149</v>
      </c>
      <c r="J54" s="54"/>
    </row>
    <row r="55" spans="2:10" customFormat="1" x14ac:dyDescent="0.2">
      <c r="B55" s="52"/>
      <c r="C55" s="175" t="s">
        <v>771</v>
      </c>
      <c r="J55" s="54"/>
    </row>
    <row r="56" spans="2:10" customFormat="1" x14ac:dyDescent="0.2">
      <c r="B56" s="52"/>
      <c r="J56" s="54"/>
    </row>
    <row r="57" spans="2:10" customFormat="1" x14ac:dyDescent="0.2">
      <c r="B57" s="52"/>
      <c r="C57" s="1" t="s">
        <v>148</v>
      </c>
      <c r="D57" s="2"/>
      <c r="E57" s="2"/>
      <c r="F57" s="2"/>
      <c r="G57" s="2"/>
      <c r="I57" s="2"/>
      <c r="J57" s="54"/>
    </row>
    <row r="58" spans="2:10" customFormat="1" x14ac:dyDescent="0.2">
      <c r="B58" s="52"/>
      <c r="C58" s="2" t="s">
        <v>395</v>
      </c>
      <c r="D58" s="2"/>
      <c r="E58" s="2"/>
      <c r="F58" s="2" t="s">
        <v>149</v>
      </c>
      <c r="G58" s="71">
        <f>'Berekening volumecorrectie 2022'!L44</f>
        <v>41315.119286457179</v>
      </c>
      <c r="I58" s="71">
        <f>'Berekening volumecorrectie 2022'!M44</f>
        <v>-266127.28836092557</v>
      </c>
      <c r="J58" s="54"/>
    </row>
    <row r="59" spans="2:10" customFormat="1" x14ac:dyDescent="0.2">
      <c r="B59" s="52"/>
      <c r="C59" s="2" t="s">
        <v>396</v>
      </c>
      <c r="D59" s="2"/>
      <c r="E59" s="2"/>
      <c r="F59" s="2" t="s">
        <v>149</v>
      </c>
      <c r="I59" s="71">
        <f>'Berekening volumecorrectie 2022'!M58</f>
        <v>-28350.806842816786</v>
      </c>
      <c r="J59" s="54"/>
    </row>
    <row r="60" spans="2:10" customFormat="1" x14ac:dyDescent="0.2">
      <c r="B60" s="52"/>
      <c r="C60" s="2" t="s">
        <v>397</v>
      </c>
      <c r="D60" s="2"/>
      <c r="E60" s="2"/>
      <c r="F60" s="2" t="s">
        <v>149</v>
      </c>
      <c r="G60" s="71">
        <f>'Berekening profit sharing 2022'!L62</f>
        <v>9492.7819831741654</v>
      </c>
      <c r="I60" s="71">
        <f>'Berekening profit sharing 2022'!M62</f>
        <v>1298074.233606698</v>
      </c>
      <c r="J60" s="54"/>
    </row>
    <row r="61" spans="2:10" customFormat="1" x14ac:dyDescent="0.2">
      <c r="B61" s="52"/>
      <c r="C61" s="2" t="s">
        <v>398</v>
      </c>
      <c r="D61" s="2"/>
      <c r="E61" s="2"/>
      <c r="F61" s="2" t="s">
        <v>149</v>
      </c>
      <c r="I61" s="71">
        <f>'Berekening profit sharing 2022'!M66</f>
        <v>-242980.23879553046</v>
      </c>
      <c r="J61" s="54"/>
    </row>
    <row r="62" spans="2:10" customFormat="1" x14ac:dyDescent="0.2">
      <c r="B62" s="52"/>
      <c r="C62" s="2" t="s">
        <v>399</v>
      </c>
      <c r="D62" s="2"/>
      <c r="E62" s="2"/>
      <c r="F62" s="2" t="s">
        <v>119</v>
      </c>
      <c r="I62" s="71">
        <f>'Input voor correcties'!M53</f>
        <v>-943400.09425250744</v>
      </c>
      <c r="J62" s="54"/>
    </row>
    <row r="63" spans="2:10" customFormat="1" x14ac:dyDescent="0.2">
      <c r="B63" s="52"/>
      <c r="C63" s="2"/>
      <c r="D63" s="2"/>
      <c r="E63" s="2"/>
      <c r="F63" s="2"/>
      <c r="J63" s="54"/>
    </row>
    <row r="64" spans="2:10" customFormat="1" x14ac:dyDescent="0.2">
      <c r="B64" s="52"/>
      <c r="C64" s="1" t="s">
        <v>767</v>
      </c>
      <c r="D64" s="2"/>
      <c r="E64" s="2"/>
      <c r="F64" s="2"/>
      <c r="J64" s="54"/>
    </row>
    <row r="65" spans="2:10" customFormat="1" x14ac:dyDescent="0.2">
      <c r="B65" s="52"/>
      <c r="C65" s="2" t="s">
        <v>768</v>
      </c>
      <c r="D65" s="2"/>
      <c r="E65" s="2"/>
      <c r="F65" s="2" t="s">
        <v>149</v>
      </c>
      <c r="I65" s="71">
        <f>'Totaaloverzicht correcties'!M48</f>
        <v>214750.56682551</v>
      </c>
      <c r="J65" s="54"/>
    </row>
    <row r="66" spans="2:10" customFormat="1" x14ac:dyDescent="0.2">
      <c r="B66" s="52"/>
      <c r="C66" s="2"/>
      <c r="D66" s="2"/>
      <c r="E66" s="2"/>
      <c r="F66" s="2"/>
      <c r="J66" s="54"/>
    </row>
    <row r="67" spans="2:10" customFormat="1" x14ac:dyDescent="0.2">
      <c r="B67" s="52"/>
      <c r="C67" s="1" t="s">
        <v>150</v>
      </c>
      <c r="J67" s="54"/>
    </row>
    <row r="68" spans="2:10" customFormat="1" x14ac:dyDescent="0.2">
      <c r="B68" s="52"/>
      <c r="C68" s="2" t="s">
        <v>400</v>
      </c>
      <c r="F68" s="2" t="s">
        <v>380</v>
      </c>
      <c r="I68" s="71">
        <f>'Totaaloverzicht correcties'!M82</f>
        <v>-6124.1275155871408</v>
      </c>
      <c r="J68" s="54"/>
    </row>
    <row r="69" spans="2:10" customFormat="1" x14ac:dyDescent="0.2">
      <c r="B69" s="52"/>
      <c r="C69" s="2" t="s">
        <v>401</v>
      </c>
      <c r="F69" s="2" t="s">
        <v>380</v>
      </c>
      <c r="I69" s="71">
        <f>'Totaaloverzicht correcties'!M83</f>
        <v>-971702.09708008263</v>
      </c>
      <c r="J69" s="54"/>
    </row>
    <row r="70" spans="2:10" customFormat="1" x14ac:dyDescent="0.2">
      <c r="B70" s="52"/>
      <c r="C70" s="2" t="s">
        <v>151</v>
      </c>
      <c r="F70" s="2" t="s">
        <v>380</v>
      </c>
      <c r="I70" s="71">
        <f>'Totaaloverzicht correcties'!M84</f>
        <v>1094792.51421124</v>
      </c>
      <c r="J70" s="54"/>
    </row>
    <row r="71" spans="2:10" customFormat="1" x14ac:dyDescent="0.2">
      <c r="B71" s="52"/>
      <c r="J71" s="54"/>
    </row>
    <row r="72" spans="2:10" customFormat="1" x14ac:dyDescent="0.2">
      <c r="B72" s="52"/>
      <c r="C72" s="1" t="s">
        <v>402</v>
      </c>
      <c r="D72" s="2"/>
      <c r="E72" s="2"/>
      <c r="J72" s="54"/>
    </row>
    <row r="73" spans="2:10" customFormat="1" x14ac:dyDescent="0.2">
      <c r="B73" s="52"/>
      <c r="C73" s="2" t="s">
        <v>403</v>
      </c>
      <c r="F73" s="2" t="s">
        <v>380</v>
      </c>
      <c r="G73" s="71">
        <f>'Berekening kostenbasis 2024'!L92</f>
        <v>172087.57172068526</v>
      </c>
      <c r="I73" s="71">
        <f>'Berekening kostenbasis 2024'!M92</f>
        <v>16601464.687971473</v>
      </c>
      <c r="J73" s="54"/>
    </row>
    <row r="74" spans="2:10" customFormat="1" x14ac:dyDescent="0.2">
      <c r="B74" s="52"/>
      <c r="C74" s="2" t="s">
        <v>152</v>
      </c>
      <c r="D74" s="2"/>
      <c r="E74" s="2"/>
      <c r="F74" s="2" t="s">
        <v>380</v>
      </c>
      <c r="G74" s="71">
        <f>'Berekening kostenbasis 2024'!L91</f>
        <v>0</v>
      </c>
      <c r="I74" s="71">
        <f>'Berekening kostenbasis 2024'!M91</f>
        <v>4051950.4831463499</v>
      </c>
      <c r="J74" s="54"/>
    </row>
    <row r="75" spans="2:10" customFormat="1" x14ac:dyDescent="0.2">
      <c r="B75" s="52"/>
      <c r="C75" s="2" t="s">
        <v>404</v>
      </c>
      <c r="D75" s="2"/>
      <c r="E75" s="2"/>
      <c r="F75" s="2" t="s">
        <v>380</v>
      </c>
      <c r="G75" s="71">
        <f>'Variabel tarief elektriciteit'!H14</f>
        <v>172087.57172068526</v>
      </c>
      <c r="I75" s="71">
        <f>'Vaste tarieven elektriciteit'!H21</f>
        <v>17696257.202182714</v>
      </c>
      <c r="J75" s="54"/>
    </row>
    <row r="76" spans="2:10" customFormat="1" x14ac:dyDescent="0.2">
      <c r="B76" s="52"/>
      <c r="I76" s="72"/>
      <c r="J76" s="54"/>
    </row>
    <row r="77" spans="2:10" customFormat="1" x14ac:dyDescent="0.2">
      <c r="B77" s="52"/>
      <c r="C77" s="67" t="s">
        <v>405</v>
      </c>
      <c r="J77" s="54"/>
    </row>
    <row r="78" spans="2:10" customFormat="1" x14ac:dyDescent="0.2">
      <c r="B78" s="52"/>
      <c r="C78" t="s">
        <v>406</v>
      </c>
      <c r="F78" t="s">
        <v>153</v>
      </c>
      <c r="G78" s="71">
        <f>'Gegevens raming 2024'!L82</f>
        <v>231464</v>
      </c>
      <c r="J78" s="54"/>
    </row>
    <row r="79" spans="2:10" customFormat="1" x14ac:dyDescent="0.2">
      <c r="B79" s="52"/>
      <c r="C79" t="s">
        <v>407</v>
      </c>
      <c r="F79" t="s">
        <v>153</v>
      </c>
      <c r="G79" s="71">
        <f>'Gegevens raming 2024'!L83</f>
        <v>148114150</v>
      </c>
      <c r="J79" s="54"/>
    </row>
    <row r="80" spans="2:10" customFormat="1" x14ac:dyDescent="0.2">
      <c r="B80" s="52"/>
      <c r="C80" t="s">
        <v>154</v>
      </c>
      <c r="F80" t="s">
        <v>155</v>
      </c>
      <c r="I80" s="71">
        <f>'Gegevens raming 2024'!M82</f>
        <v>111393.2529761905</v>
      </c>
      <c r="J80" s="54"/>
    </row>
    <row r="81" spans="2:10" customFormat="1" x14ac:dyDescent="0.2">
      <c r="B81" s="52"/>
      <c r="C81" s="2" t="s">
        <v>408</v>
      </c>
      <c r="D81" s="2"/>
      <c r="E81" s="2"/>
      <c r="F81" s="2" t="s">
        <v>142</v>
      </c>
      <c r="I81" s="73">
        <f>'Gegevens raming 2024'!M35</f>
        <v>8.9168918694288099E-2</v>
      </c>
      <c r="J81" s="54"/>
    </row>
    <row r="82" spans="2:10" customFormat="1" x14ac:dyDescent="0.2">
      <c r="B82" s="52"/>
      <c r="C82" s="2" t="s">
        <v>156</v>
      </c>
      <c r="D82" s="2"/>
      <c r="E82" s="2"/>
      <c r="F82" s="2" t="s">
        <v>157</v>
      </c>
      <c r="I82" s="74">
        <f>'Gegevens raming 2024'!M37</f>
        <v>208.33333333333334</v>
      </c>
      <c r="J82" s="54"/>
    </row>
    <row r="83" spans="2:10" customFormat="1" x14ac:dyDescent="0.2">
      <c r="B83" s="52"/>
      <c r="C83" s="2"/>
      <c r="D83" s="2"/>
      <c r="E83" s="2"/>
      <c r="F83" s="2"/>
      <c r="G83" s="2"/>
      <c r="J83" s="54"/>
    </row>
    <row r="84" spans="2:10" customFormat="1" x14ac:dyDescent="0.2">
      <c r="B84" s="52"/>
      <c r="C84" s="3" t="s">
        <v>158</v>
      </c>
      <c r="D84" s="2"/>
      <c r="E84" s="2"/>
      <c r="F84" s="2"/>
      <c r="G84" s="2"/>
      <c r="J84" s="54"/>
    </row>
    <row r="85" spans="2:10" customFormat="1" x14ac:dyDescent="0.2">
      <c r="B85" s="52"/>
      <c r="C85" s="2" t="s">
        <v>159</v>
      </c>
      <c r="D85" s="2"/>
      <c r="E85" s="2"/>
      <c r="F85" s="2"/>
      <c r="G85" s="2"/>
      <c r="H85" s="2"/>
      <c r="J85" s="54"/>
    </row>
    <row r="86" spans="2:10" customFormat="1" x14ac:dyDescent="0.2">
      <c r="B86" s="52"/>
      <c r="C86" s="2" t="s">
        <v>409</v>
      </c>
      <c r="J86" s="54"/>
    </row>
    <row r="87" spans="2:10" customFormat="1" x14ac:dyDescent="0.2">
      <c r="B87" s="52"/>
      <c r="C87" s="2"/>
      <c r="J87" s="54"/>
    </row>
    <row r="88" spans="2:10" customFormat="1" ht="13.5" thickBot="1" x14ac:dyDescent="0.25">
      <c r="B88" s="63"/>
      <c r="C88" s="75"/>
      <c r="D88" s="75"/>
      <c r="E88" s="75"/>
      <c r="F88" s="75"/>
      <c r="G88" s="75"/>
      <c r="H88" s="75"/>
      <c r="I88" s="75"/>
      <c r="J88" s="76"/>
    </row>
    <row r="89" spans="2:10" customFormat="1" x14ac:dyDescent="0.2"/>
    <row r="90" spans="2:10" customFormat="1" x14ac:dyDescent="0.2"/>
    <row r="91" spans="2:10" customFormat="1" x14ac:dyDescent="0.2">
      <c r="C91" s="2"/>
    </row>
    <row r="92" spans="2:10" customFormat="1" x14ac:dyDescent="0.2">
      <c r="C92" s="3" t="s">
        <v>58</v>
      </c>
    </row>
    <row r="93" spans="2:10" customFormat="1" x14ac:dyDescent="0.2"/>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92405-E67E-4406-A9BF-65D45D398769}">
  <sheetPr>
    <tabColor rgb="FFCCFFFF"/>
  </sheetPr>
  <dimension ref="B2:N84"/>
  <sheetViews>
    <sheetView showGridLines="0" zoomScale="85" zoomScaleNormal="85" workbookViewId="0"/>
  </sheetViews>
  <sheetFormatPr defaultRowHeight="12.75" x14ac:dyDescent="0.2"/>
  <cols>
    <col min="1" max="1" width="2.85546875" style="2" customWidth="1"/>
    <col min="2" max="2" width="3.7109375" style="2" customWidth="1"/>
    <col min="3" max="3" width="59.85546875" style="2" customWidth="1"/>
    <col min="4" max="4" width="3.7109375" style="2" customWidth="1"/>
    <col min="5" max="5" width="22" style="2" customWidth="1"/>
    <col min="6" max="6" width="12.28515625" style="2" customWidth="1"/>
    <col min="7" max="7" width="2" style="2" customWidth="1"/>
    <col min="8" max="8" width="12.85546875" style="2" customWidth="1"/>
    <col min="9" max="9" width="1.85546875" style="2" customWidth="1"/>
    <col min="10" max="10" width="15" style="2" customWidth="1"/>
    <col min="11" max="11" width="3.7109375" style="2" customWidth="1"/>
    <col min="12" max="15" width="9.140625" style="2"/>
    <col min="16" max="16" width="10.28515625" style="2" bestFit="1" customWidth="1"/>
    <col min="17" max="16384" width="9.140625" style="2"/>
  </cols>
  <sheetData>
    <row r="2" spans="2:7" s="6" customFormat="1" ht="18" x14ac:dyDescent="0.2">
      <c r="C2" s="6" t="s">
        <v>160</v>
      </c>
    </row>
    <row r="3" spans="2:7" customFormat="1" x14ac:dyDescent="0.2"/>
    <row r="4" spans="2:7" customFormat="1" x14ac:dyDescent="0.2">
      <c r="C4" s="17" t="s">
        <v>11</v>
      </c>
    </row>
    <row r="5" spans="2:7" customFormat="1" x14ac:dyDescent="0.2">
      <c r="C5" t="s">
        <v>384</v>
      </c>
    </row>
    <row r="6" spans="2:7" customFormat="1" x14ac:dyDescent="0.2"/>
    <row r="7" spans="2:7" s="7" customFormat="1" x14ac:dyDescent="0.2">
      <c r="C7" s="7" t="s">
        <v>134</v>
      </c>
      <c r="E7" s="7" t="s">
        <v>19</v>
      </c>
    </row>
    <row r="8" spans="2:7" customFormat="1" x14ac:dyDescent="0.2"/>
    <row r="9" spans="2:7" customFormat="1" x14ac:dyDescent="0.2">
      <c r="C9" s="2" t="s">
        <v>161</v>
      </c>
      <c r="D9" s="2"/>
      <c r="E9" s="2" t="s">
        <v>382</v>
      </c>
      <c r="F9" s="77">
        <f>Resultaat!H49</f>
        <v>3.6711999999999998</v>
      </c>
    </row>
    <row r="10" spans="2:7" customFormat="1" ht="13.5" thickBot="1" x14ac:dyDescent="0.25">
      <c r="C10" s="1"/>
      <c r="D10" s="2"/>
      <c r="E10" s="2"/>
      <c r="F10" s="2"/>
      <c r="G10" s="2"/>
    </row>
    <row r="11" spans="2:7" customFormat="1" x14ac:dyDescent="0.2">
      <c r="B11" s="45"/>
      <c r="C11" s="46"/>
      <c r="D11" s="46"/>
      <c r="E11" s="46"/>
      <c r="F11" s="78"/>
      <c r="G11" s="79"/>
    </row>
    <row r="12" spans="2:7" s="7" customFormat="1" x14ac:dyDescent="0.2">
      <c r="B12" s="49"/>
      <c r="C12" s="7" t="s">
        <v>410</v>
      </c>
      <c r="E12" s="7" t="s">
        <v>19</v>
      </c>
      <c r="F12" s="80" t="s">
        <v>136</v>
      </c>
      <c r="G12" s="81"/>
    </row>
    <row r="13" spans="2:7" customFormat="1" x14ac:dyDescent="0.2">
      <c r="B13" s="52"/>
      <c r="F13" s="82"/>
      <c r="G13" s="83"/>
    </row>
    <row r="14" spans="2:7" customFormat="1" x14ac:dyDescent="0.2">
      <c r="B14" s="52"/>
      <c r="C14" s="1" t="s">
        <v>162</v>
      </c>
      <c r="D14" s="2"/>
      <c r="E14" s="2"/>
      <c r="F14" s="84"/>
      <c r="G14" s="85"/>
    </row>
    <row r="15" spans="2:7" customFormat="1" x14ac:dyDescent="0.2">
      <c r="B15" s="52"/>
      <c r="C15" s="2" t="s">
        <v>137</v>
      </c>
      <c r="D15" s="2"/>
      <c r="E15" s="2" t="s">
        <v>382</v>
      </c>
      <c r="F15" s="89">
        <f>Resultaat!H52</f>
        <v>4.165</v>
      </c>
      <c r="G15" s="85"/>
    </row>
    <row r="16" spans="2:7" customFormat="1" x14ac:dyDescent="0.2">
      <c r="B16" s="52"/>
      <c r="C16" s="2" t="s">
        <v>125</v>
      </c>
      <c r="D16" s="2"/>
      <c r="E16" s="2" t="s">
        <v>382</v>
      </c>
      <c r="F16" s="89">
        <f>Resultaat!H53</f>
        <v>16.981999999999999</v>
      </c>
      <c r="G16" s="85"/>
    </row>
    <row r="17" spans="2:7" customFormat="1" x14ac:dyDescent="0.2">
      <c r="B17" s="52"/>
      <c r="C17" s="2"/>
      <c r="D17" s="2"/>
      <c r="E17" s="2"/>
      <c r="F17" s="84"/>
      <c r="G17" s="85"/>
    </row>
    <row r="18" spans="2:7" customFormat="1" x14ac:dyDescent="0.2">
      <c r="B18" s="52"/>
      <c r="C18" s="1" t="s">
        <v>163</v>
      </c>
      <c r="D18" s="2"/>
      <c r="E18" s="2"/>
      <c r="F18" s="84"/>
      <c r="G18" s="85"/>
    </row>
    <row r="19" spans="2:7" customFormat="1" x14ac:dyDescent="0.2">
      <c r="B19" s="52"/>
      <c r="C19" s="1" t="s">
        <v>102</v>
      </c>
      <c r="D19" s="2"/>
      <c r="E19" s="2"/>
      <c r="F19" s="84"/>
      <c r="G19" s="85"/>
    </row>
    <row r="20" spans="2:7" customFormat="1" x14ac:dyDescent="0.2">
      <c r="B20" s="52"/>
      <c r="C20" s="2" t="s">
        <v>127</v>
      </c>
      <c r="D20" s="2"/>
      <c r="E20" s="2" t="s">
        <v>378</v>
      </c>
      <c r="F20" s="61">
        <f>Resultaat!H57</f>
        <v>47.135376252282725</v>
      </c>
      <c r="G20" s="85"/>
    </row>
    <row r="21" spans="2:7" customFormat="1" x14ac:dyDescent="0.2">
      <c r="B21" s="52"/>
      <c r="C21" s="2" t="s">
        <v>128</v>
      </c>
      <c r="D21" s="2"/>
      <c r="E21" s="2" t="s">
        <v>378</v>
      </c>
      <c r="F21" s="61">
        <f>Resultaat!H58</f>
        <v>106.05459656763614</v>
      </c>
      <c r="G21" s="85"/>
    </row>
    <row r="22" spans="2:7" customFormat="1" x14ac:dyDescent="0.2">
      <c r="B22" s="52"/>
      <c r="C22" s="2" t="s">
        <v>129</v>
      </c>
      <c r="D22" s="2"/>
      <c r="E22" s="2" t="s">
        <v>378</v>
      </c>
      <c r="F22" s="61">
        <f>Resultaat!H59</f>
        <v>188.5415050091309</v>
      </c>
      <c r="G22" s="85"/>
    </row>
    <row r="23" spans="2:7" customFormat="1" x14ac:dyDescent="0.2">
      <c r="B23" s="52"/>
      <c r="C23" s="42" t="s">
        <v>130</v>
      </c>
      <c r="D23" s="2"/>
      <c r="E23" s="2" t="s">
        <v>378</v>
      </c>
      <c r="F23" s="61">
        <f>Resultaat!H60</f>
        <v>294.59610157676701</v>
      </c>
      <c r="G23" s="85"/>
    </row>
    <row r="24" spans="2:7" customFormat="1" x14ac:dyDescent="0.2">
      <c r="B24" s="52"/>
      <c r="C24" s="2" t="s">
        <v>131</v>
      </c>
      <c r="D24" s="2"/>
      <c r="E24" s="2" t="s">
        <v>378</v>
      </c>
      <c r="F24" s="61">
        <f>Resultaat!H61</f>
        <v>754.16602003652361</v>
      </c>
      <c r="G24" s="85"/>
    </row>
    <row r="25" spans="2:7" customFormat="1" x14ac:dyDescent="0.2">
      <c r="B25" s="52"/>
      <c r="C25" s="2" t="s">
        <v>132</v>
      </c>
      <c r="D25" s="2"/>
      <c r="E25" s="2" t="s">
        <v>378</v>
      </c>
      <c r="F25" s="61">
        <f>Resultaat!H62</f>
        <v>3016.6640801460944</v>
      </c>
      <c r="G25" s="85"/>
    </row>
    <row r="26" spans="2:7" customFormat="1" x14ac:dyDescent="0.2">
      <c r="B26" s="52"/>
      <c r="C26" s="2"/>
      <c r="D26" s="2"/>
      <c r="E26" s="2"/>
      <c r="F26" s="84"/>
      <c r="G26" s="85"/>
    </row>
    <row r="27" spans="2:7" customFormat="1" x14ac:dyDescent="0.2">
      <c r="B27" s="52"/>
      <c r="C27" s="1" t="s">
        <v>117</v>
      </c>
      <c r="D27" s="2"/>
      <c r="E27" s="2"/>
      <c r="F27" s="84"/>
      <c r="G27" s="85"/>
    </row>
    <row r="28" spans="2:7" customFormat="1" x14ac:dyDescent="0.2">
      <c r="B28" s="52"/>
      <c r="C28" s="2" t="s">
        <v>118</v>
      </c>
      <c r="D28" s="2"/>
      <c r="E28" s="2" t="s">
        <v>380</v>
      </c>
      <c r="F28" s="86">
        <f>Resultaat!H65</f>
        <v>40</v>
      </c>
      <c r="G28" s="85"/>
    </row>
    <row r="29" spans="2:7" customFormat="1" x14ac:dyDescent="0.2">
      <c r="B29" s="52"/>
      <c r="C29" s="2" t="s">
        <v>120</v>
      </c>
      <c r="D29" s="2"/>
      <c r="E29" s="2" t="s">
        <v>380</v>
      </c>
      <c r="F29" s="86">
        <f>Resultaat!H66</f>
        <v>1191.5936187033803</v>
      </c>
      <c r="G29" s="85"/>
    </row>
    <row r="30" spans="2:7" customFormat="1" x14ac:dyDescent="0.2">
      <c r="B30" s="52"/>
      <c r="C30" s="3" t="s">
        <v>121</v>
      </c>
      <c r="D30" s="2"/>
      <c r="E30" s="2"/>
      <c r="F30" s="2"/>
      <c r="G30" s="85"/>
    </row>
    <row r="31" spans="2:7" customFormat="1" ht="13.5" thickBot="1" x14ac:dyDescent="0.25">
      <c r="B31" s="63"/>
      <c r="C31" s="65"/>
      <c r="D31" s="65"/>
      <c r="E31" s="65"/>
      <c r="F31" s="87"/>
      <c r="G31" s="88"/>
    </row>
    <row r="32" spans="2:7" customFormat="1" ht="13.5" thickBot="1" x14ac:dyDescent="0.25"/>
    <row r="33" spans="2:14" customFormat="1" x14ac:dyDescent="0.2">
      <c r="B33" s="45"/>
      <c r="C33" s="46"/>
      <c r="D33" s="46"/>
      <c r="E33" s="46"/>
      <c r="F33" s="46"/>
      <c r="G33" s="46"/>
      <c r="H33" s="46"/>
      <c r="I33" s="46"/>
      <c r="J33" s="46"/>
      <c r="K33" s="48"/>
    </row>
    <row r="34" spans="2:14" s="7" customFormat="1" x14ac:dyDescent="0.2">
      <c r="B34" s="49"/>
      <c r="C34" s="7" t="s">
        <v>411</v>
      </c>
      <c r="E34" s="7" t="s">
        <v>140</v>
      </c>
      <c r="K34" s="51"/>
    </row>
    <row r="35" spans="2:14" customFormat="1" x14ac:dyDescent="0.2">
      <c r="B35" s="52"/>
      <c r="K35" s="54"/>
    </row>
    <row r="36" spans="2:14" customFormat="1" x14ac:dyDescent="0.2">
      <c r="B36" s="52"/>
      <c r="C36" s="67" t="s">
        <v>141</v>
      </c>
      <c r="K36" s="54"/>
    </row>
    <row r="37" spans="2:14" customFormat="1" x14ac:dyDescent="0.2">
      <c r="B37" s="52"/>
      <c r="C37" s="2" t="s">
        <v>412</v>
      </c>
      <c r="E37" t="s">
        <v>142</v>
      </c>
      <c r="F37" s="68">
        <f>Parameters!H46</f>
        <v>6.3799999999999996E-2</v>
      </c>
      <c r="K37" s="54"/>
    </row>
    <row r="38" spans="2:14" customFormat="1" x14ac:dyDescent="0.2">
      <c r="B38" s="52"/>
      <c r="C38" s="2" t="s">
        <v>144</v>
      </c>
      <c r="E38" t="s">
        <v>142</v>
      </c>
      <c r="F38" s="68">
        <f>Parameters!H29</f>
        <v>8.7999999999999995E-2</v>
      </c>
      <c r="K38" s="54"/>
    </row>
    <row r="39" spans="2:14" customFormat="1" x14ac:dyDescent="0.2">
      <c r="B39" s="52"/>
      <c r="C39" s="2" t="s">
        <v>390</v>
      </c>
      <c r="E39" t="s">
        <v>142</v>
      </c>
      <c r="F39" s="68">
        <f>Parameters!H30</f>
        <v>1.9E-2</v>
      </c>
      <c r="K39" s="54"/>
    </row>
    <row r="40" spans="2:14" customFormat="1" x14ac:dyDescent="0.2">
      <c r="B40" s="52"/>
      <c r="C40" s="2" t="s">
        <v>145</v>
      </c>
      <c r="E40" t="s">
        <v>142</v>
      </c>
      <c r="F40" s="68">
        <f>Parameters!H51</f>
        <v>0.5</v>
      </c>
      <c r="K40" s="54"/>
    </row>
    <row r="41" spans="2:14" customFormat="1" x14ac:dyDescent="0.2">
      <c r="B41" s="52"/>
      <c r="K41" s="54"/>
    </row>
    <row r="42" spans="2:14" customFormat="1" ht="25.5" x14ac:dyDescent="0.2">
      <c r="B42" s="52"/>
      <c r="C42" s="69" t="s">
        <v>391</v>
      </c>
      <c r="F42" s="70" t="s">
        <v>164</v>
      </c>
      <c r="H42" s="70" t="s">
        <v>165</v>
      </c>
      <c r="I42" s="70"/>
      <c r="J42" s="70" t="s">
        <v>166</v>
      </c>
      <c r="K42" s="54"/>
    </row>
    <row r="43" spans="2:14" customFormat="1" x14ac:dyDescent="0.2">
      <c r="B43" s="52"/>
      <c r="C43" s="2" t="s">
        <v>392</v>
      </c>
      <c r="E43" s="2" t="s">
        <v>149</v>
      </c>
      <c r="F43" s="71">
        <f>'Gegevens kosten 2022'!N32</f>
        <v>2310657.1750644064</v>
      </c>
      <c r="G43" s="2"/>
      <c r="H43" s="71">
        <f>'Gegevens kosten 2022'!O32</f>
        <v>3333954.4488974279</v>
      </c>
      <c r="I43" s="70"/>
      <c r="J43" s="71">
        <f>'Gegevens kosten 2022'!P32</f>
        <v>118969.59188097197</v>
      </c>
      <c r="K43" s="54"/>
      <c r="N43" s="2"/>
    </row>
    <row r="44" spans="2:14" customFormat="1" x14ac:dyDescent="0.2">
      <c r="B44" s="52"/>
      <c r="C44" s="2" t="s">
        <v>413</v>
      </c>
      <c r="E44" s="2" t="s">
        <v>149</v>
      </c>
      <c r="F44" s="71">
        <f>'Gegevens kosten 2022'!N17</f>
        <v>2735273.1734040701</v>
      </c>
      <c r="G44" s="2"/>
      <c r="H44" s="71">
        <f>'Gegevens kosten 2022'!O17</f>
        <v>16505572.410101922</v>
      </c>
      <c r="I44" s="70"/>
      <c r="J44" s="71">
        <f>'Gegevens kosten 2022'!P17</f>
        <v>16311.593619753781</v>
      </c>
      <c r="K44" s="54"/>
    </row>
    <row r="45" spans="2:14" customFormat="1" x14ac:dyDescent="0.2">
      <c r="B45" s="52"/>
      <c r="C45" s="2" t="s">
        <v>414</v>
      </c>
      <c r="E45" s="2" t="s">
        <v>149</v>
      </c>
      <c r="F45" s="71">
        <f>'Gegevens kosten 2022'!N18</f>
        <v>281494.54088774108</v>
      </c>
      <c r="G45" s="2"/>
      <c r="H45" s="71">
        <f>'Gegevens kosten 2022'!O18</f>
        <v>2122614.2905211276</v>
      </c>
      <c r="I45" s="70"/>
      <c r="J45" s="71">
        <f>'Gegevens kosten 2022'!P18</f>
        <v>58554.512005719866</v>
      </c>
      <c r="K45" s="54"/>
    </row>
    <row r="46" spans="2:14" customFormat="1" x14ac:dyDescent="0.2">
      <c r="B46" s="52"/>
      <c r="C46" s="2" t="s">
        <v>415</v>
      </c>
      <c r="E46" s="2" t="s">
        <v>149</v>
      </c>
      <c r="F46" s="71">
        <f>'Berekening profit sharing 2022'!N54</f>
        <v>1696187.4800635697</v>
      </c>
      <c r="K46" s="54"/>
    </row>
    <row r="47" spans="2:14" customFormat="1" x14ac:dyDescent="0.2">
      <c r="B47" s="52"/>
      <c r="I47" s="70"/>
      <c r="K47" s="54"/>
    </row>
    <row r="48" spans="2:14" customFormat="1" x14ac:dyDescent="0.2">
      <c r="B48" s="52"/>
      <c r="C48" s="1" t="s">
        <v>416</v>
      </c>
      <c r="I48" s="70"/>
      <c r="K48" s="54"/>
    </row>
    <row r="49" spans="2:11" customFormat="1" x14ac:dyDescent="0.2">
      <c r="B49" s="52"/>
      <c r="C49" s="2" t="s">
        <v>395</v>
      </c>
      <c r="D49" s="2"/>
      <c r="E49" s="2" t="s">
        <v>149</v>
      </c>
      <c r="F49" s="71">
        <f>'Berekening volumecorrectie 2022'!N44</f>
        <v>-249853.05015028501</v>
      </c>
      <c r="G49" s="2"/>
      <c r="H49" s="71">
        <f>'Berekening volumecorrectie 2022'!O44</f>
        <v>-28679.113122978335</v>
      </c>
      <c r="I49" s="70"/>
      <c r="J49" s="71">
        <f>'Berekening volumecorrectie 2022'!P44</f>
        <v>8473.8489474010639</v>
      </c>
      <c r="K49" s="54"/>
    </row>
    <row r="50" spans="2:11" customFormat="1" x14ac:dyDescent="0.2">
      <c r="B50" s="52"/>
      <c r="C50" s="2" t="s">
        <v>397</v>
      </c>
      <c r="D50" s="2"/>
      <c r="E50" s="2" t="s">
        <v>149</v>
      </c>
      <c r="F50" s="71">
        <f>'Berekening profit sharing 2022'!N62</f>
        <v>237452.0132783649</v>
      </c>
      <c r="G50" s="2"/>
      <c r="H50" s="71">
        <f>'Berekening profit sharing 2022'!O62</f>
        <v>191002.46154918987</v>
      </c>
      <c r="I50" s="70"/>
      <c r="J50" s="71">
        <f>'Berekening profit sharing 2022'!P62</f>
        <v>9434.0329418718611</v>
      </c>
      <c r="K50" s="54"/>
    </row>
    <row r="51" spans="2:11" customFormat="1" x14ac:dyDescent="0.2">
      <c r="B51" s="52"/>
      <c r="C51" s="2" t="s">
        <v>417</v>
      </c>
      <c r="D51" s="2"/>
      <c r="E51" s="2" t="s">
        <v>149</v>
      </c>
      <c r="H51" s="71">
        <f>'Berekening profit sharing 2022'!O66</f>
        <v>-42614.234517899393</v>
      </c>
      <c r="I51" s="70"/>
      <c r="K51" s="54"/>
    </row>
    <row r="52" spans="2:11" customFormat="1" x14ac:dyDescent="0.2">
      <c r="B52" s="52"/>
      <c r="C52" s="2" t="s">
        <v>418</v>
      </c>
      <c r="D52" s="2"/>
      <c r="E52" s="2" t="s">
        <v>119</v>
      </c>
      <c r="F52" s="71">
        <f>'Totaaloverzicht correcties'!N40</f>
        <v>-256628.54102597354</v>
      </c>
      <c r="K52" s="54"/>
    </row>
    <row r="53" spans="2:11" customFormat="1" x14ac:dyDescent="0.2">
      <c r="B53" s="52"/>
      <c r="D53" s="2"/>
      <c r="E53" s="2"/>
      <c r="F53" s="2"/>
      <c r="G53" s="2"/>
      <c r="H53" s="2"/>
      <c r="I53" s="2"/>
      <c r="J53" s="2"/>
      <c r="K53" s="54"/>
    </row>
    <row r="54" spans="2:11" customFormat="1" x14ac:dyDescent="0.2">
      <c r="B54" s="52"/>
      <c r="C54" s="180" t="s">
        <v>767</v>
      </c>
      <c r="D54" s="2"/>
      <c r="E54" s="2"/>
      <c r="F54" s="2"/>
      <c r="G54" s="2"/>
      <c r="H54" s="2"/>
      <c r="I54" s="2"/>
      <c r="J54" s="2"/>
      <c r="K54" s="54"/>
    </row>
    <row r="55" spans="2:11" customFormat="1" x14ac:dyDescent="0.2">
      <c r="B55" s="52"/>
      <c r="C55" s="175" t="s">
        <v>769</v>
      </c>
      <c r="D55" s="2"/>
      <c r="E55" s="2" t="s">
        <v>119</v>
      </c>
      <c r="F55" s="71">
        <f>'Totaaloverzicht correcties'!N51</f>
        <v>74651.071060704649</v>
      </c>
      <c r="G55" s="2"/>
      <c r="H55" s="2"/>
      <c r="I55" s="2"/>
      <c r="J55" s="2"/>
      <c r="K55" s="54"/>
    </row>
    <row r="56" spans="2:11" customFormat="1" x14ac:dyDescent="0.2">
      <c r="B56" s="52"/>
      <c r="D56" s="2"/>
      <c r="E56" s="2"/>
      <c r="F56" s="2"/>
      <c r="G56" s="2"/>
      <c r="H56" s="2"/>
      <c r="I56" s="2"/>
      <c r="J56" s="2"/>
      <c r="K56" s="54"/>
    </row>
    <row r="57" spans="2:11" customFormat="1" x14ac:dyDescent="0.2">
      <c r="B57" s="52"/>
      <c r="C57" s="1" t="s">
        <v>150</v>
      </c>
      <c r="D57" s="2"/>
      <c r="E57" s="2"/>
      <c r="F57" s="2"/>
      <c r="H57" s="2"/>
      <c r="I57" s="70"/>
      <c r="J57" s="2"/>
      <c r="K57" s="54"/>
    </row>
    <row r="58" spans="2:11" customFormat="1" x14ac:dyDescent="0.2">
      <c r="B58" s="52"/>
      <c r="C58" s="2" t="s">
        <v>167</v>
      </c>
      <c r="D58" s="2"/>
      <c r="E58" s="2" t="s">
        <v>380</v>
      </c>
      <c r="F58" s="71">
        <f>'Totaaloverzicht correcties'!N81</f>
        <v>-200593.05408164702</v>
      </c>
      <c r="H58" s="2"/>
      <c r="I58" s="70"/>
      <c r="J58" s="2"/>
      <c r="K58" s="54"/>
    </row>
    <row r="59" spans="2:11" customFormat="1" x14ac:dyDescent="0.2">
      <c r="B59" s="52"/>
      <c r="C59" s="2" t="s">
        <v>168</v>
      </c>
      <c r="D59" s="2"/>
      <c r="E59" s="2" t="s">
        <v>380</v>
      </c>
      <c r="F59" s="2"/>
      <c r="H59" s="71">
        <f>'Totaaloverzicht correcties'!O82</f>
        <v>-45209.441400039461</v>
      </c>
      <c r="I59" s="70"/>
      <c r="J59" s="71">
        <f>'Totaaloverzicht correcties'!P82</f>
        <v>18998.471896329647</v>
      </c>
      <c r="K59" s="54"/>
    </row>
    <row r="60" spans="2:11" customFormat="1" x14ac:dyDescent="0.2">
      <c r="B60" s="52"/>
      <c r="C60" s="2" t="s">
        <v>151</v>
      </c>
      <c r="D60" s="2"/>
      <c r="E60" s="2" t="s">
        <v>380</v>
      </c>
      <c r="F60" s="2"/>
      <c r="H60" s="71">
        <f>'Totaaloverzicht correcties'!O84</f>
        <v>172208.84034536782</v>
      </c>
      <c r="I60" s="70"/>
      <c r="J60" s="2"/>
      <c r="K60" s="54"/>
    </row>
    <row r="61" spans="2:11" customFormat="1" x14ac:dyDescent="0.2">
      <c r="B61" s="52"/>
      <c r="C61" s="2"/>
      <c r="D61" s="2"/>
      <c r="E61" s="2"/>
      <c r="F61" s="2"/>
      <c r="H61" s="2"/>
      <c r="I61" s="70"/>
      <c r="K61" s="54"/>
    </row>
    <row r="62" spans="2:11" customFormat="1" x14ac:dyDescent="0.2">
      <c r="B62" s="52"/>
      <c r="C62" s="1" t="s">
        <v>402</v>
      </c>
      <c r="D62" s="2"/>
      <c r="F62" s="2"/>
      <c r="G62" s="2"/>
      <c r="H62" s="2"/>
      <c r="I62" s="2"/>
      <c r="J62" s="2"/>
      <c r="K62" s="54"/>
    </row>
    <row r="63" spans="2:11" customFormat="1" x14ac:dyDescent="0.2">
      <c r="B63" s="52"/>
      <c r="C63" s="2" t="s">
        <v>419</v>
      </c>
      <c r="D63" s="2"/>
      <c r="E63" s="2" t="s">
        <v>380</v>
      </c>
      <c r="F63" s="71">
        <f>'Berekening kostenbasis 2024'!N92</f>
        <v>6280944.8058665283</v>
      </c>
      <c r="G63" s="2"/>
      <c r="H63" s="71">
        <f>'Berekening kostenbasis 2024'!O92</f>
        <v>7203393.4294830766</v>
      </c>
      <c r="I63" s="70"/>
      <c r="J63" s="71">
        <f>'Berekening kostenbasis 2024'!P92</f>
        <v>191493.44704852114</v>
      </c>
      <c r="K63" s="54"/>
    </row>
    <row r="64" spans="2:11" customFormat="1" x14ac:dyDescent="0.2">
      <c r="B64" s="52"/>
      <c r="C64" s="2" t="s">
        <v>152</v>
      </c>
      <c r="E64" s="2" t="s">
        <v>380</v>
      </c>
      <c r="F64" s="71">
        <f>'Berekening kostenbasis 2024'!N91</f>
        <v>924210.65007812437</v>
      </c>
      <c r="G64" s="2"/>
      <c r="H64" s="71">
        <f>'Berekening kostenbasis 2024'!O91</f>
        <v>2179978.2605896564</v>
      </c>
      <c r="I64" s="70"/>
      <c r="J64" s="71">
        <f>'Berekening kostenbasis 2024'!P91</f>
        <v>46827.147380716531</v>
      </c>
      <c r="K64" s="54"/>
    </row>
    <row r="65" spans="2:11" customFormat="1" x14ac:dyDescent="0.2">
      <c r="B65" s="52"/>
      <c r="C65" s="2" t="s">
        <v>169</v>
      </c>
      <c r="E65" s="2" t="s">
        <v>380</v>
      </c>
      <c r="F65" s="71">
        <f>'Berekening kostenbasis 2024'!N41</f>
        <v>1632734.705334092</v>
      </c>
      <c r="G65" s="2"/>
      <c r="H65" s="2"/>
      <c r="I65" s="2"/>
      <c r="J65" s="2"/>
      <c r="K65" s="54"/>
    </row>
    <row r="66" spans="2:11" customFormat="1" x14ac:dyDescent="0.2">
      <c r="B66" s="52"/>
      <c r="C66" s="2" t="s">
        <v>404</v>
      </c>
      <c r="E66" s="2" t="s">
        <v>380</v>
      </c>
      <c r="F66" s="71">
        <f>'Variabel tarief drinkwater'!H19</f>
        <v>6080351.7517848816</v>
      </c>
      <c r="H66" s="71">
        <f>'Vaste tarieven drinkwater'!H21</f>
        <v>7375602.2698284443</v>
      </c>
      <c r="I66" s="70"/>
      <c r="J66" s="71">
        <f>'Vaste tarieven drinkwater'!H41</f>
        <v>210491.9189448508</v>
      </c>
      <c r="K66" s="54"/>
    </row>
    <row r="67" spans="2:11" customFormat="1" x14ac:dyDescent="0.2">
      <c r="B67" s="52"/>
      <c r="C67" s="2" t="s">
        <v>170</v>
      </c>
      <c r="D67" s="2"/>
      <c r="E67" s="2" t="s">
        <v>380</v>
      </c>
      <c r="F67" s="71">
        <f>'Variabel tarief drinkwater'!H23</f>
        <v>3623912.6127860565</v>
      </c>
      <c r="K67" s="54"/>
    </row>
    <row r="68" spans="2:11" customFormat="1" x14ac:dyDescent="0.2">
      <c r="B68" s="52"/>
      <c r="K68" s="54"/>
    </row>
    <row r="69" spans="2:11" customFormat="1" x14ac:dyDescent="0.2">
      <c r="B69" s="52"/>
      <c r="C69" s="67" t="s">
        <v>405</v>
      </c>
      <c r="K69" s="54"/>
    </row>
    <row r="70" spans="2:11" customFormat="1" x14ac:dyDescent="0.2">
      <c r="B70" s="52"/>
      <c r="C70" s="2" t="s">
        <v>420</v>
      </c>
      <c r="D70" s="2"/>
      <c r="E70" s="42" t="s">
        <v>171</v>
      </c>
      <c r="F70" s="71">
        <f>'Gegevens raming 2024'!N82</f>
        <v>2643315</v>
      </c>
      <c r="K70" s="54"/>
    </row>
    <row r="71" spans="2:11" customFormat="1" x14ac:dyDescent="0.2">
      <c r="B71" s="52"/>
      <c r="C71" s="2" t="s">
        <v>172</v>
      </c>
      <c r="D71" s="2"/>
      <c r="E71" s="2" t="s">
        <v>173</v>
      </c>
      <c r="F71" s="89">
        <f>'Variabel tarief drinkwater'!H22</f>
        <v>3.8348885763912572</v>
      </c>
      <c r="K71" s="54"/>
    </row>
    <row r="72" spans="2:11" customFormat="1" x14ac:dyDescent="0.2">
      <c r="B72" s="52"/>
      <c r="C72" s="2" t="s">
        <v>174</v>
      </c>
      <c r="D72" s="2"/>
      <c r="E72" s="2" t="s">
        <v>175</v>
      </c>
      <c r="F72" s="2"/>
      <c r="H72" s="71">
        <f>'Vaste tarieven drinkwater'!H23</f>
        <v>3259.9375</v>
      </c>
      <c r="K72" s="54"/>
    </row>
    <row r="73" spans="2:11" customFormat="1" x14ac:dyDescent="0.2">
      <c r="B73" s="52"/>
      <c r="C73" s="2" t="s">
        <v>176</v>
      </c>
      <c r="E73" t="s">
        <v>171</v>
      </c>
      <c r="J73" s="71">
        <f>'Gegevens raming 2024'!P82</f>
        <v>15813.5</v>
      </c>
      <c r="K73" s="54"/>
    </row>
    <row r="74" spans="2:11" customFormat="1" x14ac:dyDescent="0.2">
      <c r="B74" s="52"/>
      <c r="C74" s="2" t="s">
        <v>421</v>
      </c>
      <c r="D74" s="2"/>
      <c r="E74" s="2" t="s">
        <v>142</v>
      </c>
      <c r="H74" s="73">
        <f>'Gegevens raming 2024'!O35</f>
        <v>0.12259312967777755</v>
      </c>
      <c r="K74" s="54"/>
    </row>
    <row r="75" spans="2:11" customFormat="1" x14ac:dyDescent="0.2">
      <c r="B75" s="52"/>
      <c r="C75" s="2"/>
      <c r="D75" s="2"/>
      <c r="E75" s="2"/>
      <c r="F75" s="2"/>
      <c r="K75" s="54"/>
    </row>
    <row r="76" spans="2:11" customFormat="1" x14ac:dyDescent="0.2">
      <c r="B76" s="52"/>
      <c r="C76" s="3" t="s">
        <v>158</v>
      </c>
      <c r="D76" s="2"/>
      <c r="E76" s="2"/>
      <c r="F76" s="2"/>
      <c r="G76" s="2"/>
      <c r="K76" s="54"/>
    </row>
    <row r="77" spans="2:11" customFormat="1" x14ac:dyDescent="0.2">
      <c r="B77" s="52"/>
      <c r="C77" s="2" t="s">
        <v>159</v>
      </c>
      <c r="D77" s="2"/>
      <c r="E77" s="2"/>
      <c r="F77" s="2"/>
      <c r="G77" s="2"/>
      <c r="K77" s="54"/>
    </row>
    <row r="78" spans="2:11" customFormat="1" x14ac:dyDescent="0.2">
      <c r="B78" s="52"/>
      <c r="C78" s="2" t="s">
        <v>422</v>
      </c>
      <c r="D78" s="2"/>
      <c r="E78" s="2"/>
      <c r="F78" s="2"/>
      <c r="G78" s="2"/>
      <c r="K78" s="54"/>
    </row>
    <row r="79" spans="2:11" customFormat="1" x14ac:dyDescent="0.2">
      <c r="B79" s="52"/>
      <c r="K79" s="54"/>
    </row>
    <row r="80" spans="2:11" customFormat="1" ht="13.5" thickBot="1" x14ac:dyDescent="0.25">
      <c r="B80" s="63"/>
      <c r="C80" s="75"/>
      <c r="D80" s="75"/>
      <c r="E80" s="75"/>
      <c r="F80" s="75"/>
      <c r="G80" s="75"/>
      <c r="H80" s="75"/>
      <c r="I80" s="75"/>
      <c r="J80" s="75"/>
      <c r="K80" s="76"/>
    </row>
    <row r="81" spans="3:3" customFormat="1" x14ac:dyDescent="0.2"/>
    <row r="82" spans="3:3" customFormat="1" x14ac:dyDescent="0.2"/>
    <row r="83" spans="3:3" customFormat="1" x14ac:dyDescent="0.2"/>
    <row r="84" spans="3:3" customFormat="1" x14ac:dyDescent="0.2">
      <c r="C84" s="3" t="s">
        <v>58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9F024-0412-45DF-A293-B3B26460E98A}">
  <sheetPr>
    <tabColor theme="0" tint="-4.9989318521683403E-2"/>
  </sheetPr>
  <dimension ref="B2:B3"/>
  <sheetViews>
    <sheetView showGridLines="0" zoomScale="85" zoomScaleNormal="85" workbookViewId="0">
      <selection activeCell="A4" sqref="A4"/>
    </sheetView>
  </sheetViews>
  <sheetFormatPr defaultRowHeight="12.75" x14ac:dyDescent="0.2"/>
  <cols>
    <col min="1" max="1" width="5.7109375" style="14" customWidth="1"/>
    <col min="2" max="16384" width="9.140625" style="14"/>
  </cols>
  <sheetData>
    <row r="2" spans="2:2" x14ac:dyDescent="0.2">
      <c r="B2" s="26" t="s">
        <v>62</v>
      </c>
    </row>
    <row r="3" spans="2:2" x14ac:dyDescent="0.2">
      <c r="B3" s="26" t="s">
        <v>63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02B8-E995-4036-9225-66248BD5D552}">
  <sheetPr>
    <tabColor rgb="FFE1FFE1"/>
  </sheetPr>
  <dimension ref="A2:Q57"/>
  <sheetViews>
    <sheetView showGridLines="0" zoomScale="85" zoomScaleNormal="85" workbookViewId="0">
      <pane xSplit="6" ySplit="13" topLeftCell="G14" activePane="bottomRight" state="frozen"/>
      <selection activeCell="A4" sqref="A4"/>
      <selection pane="topRight" activeCell="A4" sqref="A4"/>
      <selection pane="bottomLeft" activeCell="A4" sqref="A4"/>
      <selection pane="bottomRight"/>
    </sheetView>
  </sheetViews>
  <sheetFormatPr defaultRowHeight="12.75" x14ac:dyDescent="0.2"/>
  <cols>
    <col min="1" max="1" width="5.7109375" style="2" customWidth="1"/>
    <col min="2" max="2" width="51.57031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42.140625" style="2" customWidth="1"/>
    <col min="11" max="11" width="2.7109375" style="2" customWidth="1"/>
    <col min="12"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12" s="10" customFormat="1" ht="18" x14ac:dyDescent="0.2">
      <c r="B2" s="10" t="s">
        <v>177</v>
      </c>
    </row>
    <row r="4" spans="2:12" x14ac:dyDescent="0.2">
      <c r="B4" s="17" t="s">
        <v>21</v>
      </c>
      <c r="C4" s="1"/>
      <c r="D4" s="1"/>
    </row>
    <row r="5" spans="2:12" x14ac:dyDescent="0.2">
      <c r="B5" s="2" t="s">
        <v>178</v>
      </c>
      <c r="H5" s="11"/>
    </row>
    <row r="6" spans="2:12" x14ac:dyDescent="0.2">
      <c r="H6" s="11"/>
    </row>
    <row r="7" spans="2:12" x14ac:dyDescent="0.2">
      <c r="B7" s="18" t="s">
        <v>22</v>
      </c>
      <c r="H7" s="11"/>
    </row>
    <row r="8" spans="2:12" x14ac:dyDescent="0.2">
      <c r="B8" s="3" t="s">
        <v>179</v>
      </c>
    </row>
    <row r="9" spans="2:12" x14ac:dyDescent="0.2">
      <c r="B9" s="3" t="s">
        <v>180</v>
      </c>
    </row>
    <row r="10" spans="2:12" x14ac:dyDescent="0.2">
      <c r="B10" s="3" t="s">
        <v>423</v>
      </c>
    </row>
    <row r="11" spans="2:12" x14ac:dyDescent="0.2">
      <c r="B11" s="18"/>
    </row>
    <row r="12" spans="2:12" s="7" customFormat="1" x14ac:dyDescent="0.2">
      <c r="B12" s="7" t="s">
        <v>36</v>
      </c>
      <c r="F12" s="7" t="s">
        <v>19</v>
      </c>
      <c r="H12" s="7" t="s">
        <v>20</v>
      </c>
      <c r="J12" s="7" t="s">
        <v>37</v>
      </c>
      <c r="L12" s="7" t="s">
        <v>38</v>
      </c>
    </row>
    <row r="15" spans="2:12" s="7" customFormat="1" x14ac:dyDescent="0.2">
      <c r="B15" s="7" t="s">
        <v>181</v>
      </c>
    </row>
    <row r="17" spans="1:17" x14ac:dyDescent="0.2">
      <c r="B17" s="2" t="s">
        <v>182</v>
      </c>
      <c r="F17" s="2" t="s">
        <v>183</v>
      </c>
      <c r="H17" s="90">
        <v>105.11</v>
      </c>
      <c r="J17" s="2" t="s">
        <v>184</v>
      </c>
    </row>
    <row r="18" spans="1:17" x14ac:dyDescent="0.2">
      <c r="B18" s="2" t="s">
        <v>185</v>
      </c>
      <c r="F18" s="2" t="s">
        <v>183</v>
      </c>
      <c r="H18" s="90">
        <v>100.07</v>
      </c>
    </row>
    <row r="19" spans="1:17" x14ac:dyDescent="0.2">
      <c r="B19" s="2" t="s">
        <v>186</v>
      </c>
      <c r="F19" s="2" t="s">
        <v>183</v>
      </c>
      <c r="H19" s="90">
        <v>104.4</v>
      </c>
    </row>
    <row r="20" spans="1:17" x14ac:dyDescent="0.2">
      <c r="B20" s="2" t="s">
        <v>187</v>
      </c>
      <c r="F20" s="2" t="s">
        <v>183</v>
      </c>
      <c r="H20" s="90">
        <v>117.17</v>
      </c>
    </row>
    <row r="21" spans="1:17" x14ac:dyDescent="0.2">
      <c r="B21" s="2" t="s">
        <v>424</v>
      </c>
      <c r="F21" s="2" t="s">
        <v>183</v>
      </c>
      <c r="H21" s="90">
        <v>119.38</v>
      </c>
    </row>
    <row r="23" spans="1:17" x14ac:dyDescent="0.2">
      <c r="B23" s="2" t="s">
        <v>188</v>
      </c>
      <c r="F23" s="2" t="s">
        <v>183</v>
      </c>
      <c r="H23" s="90">
        <v>103.19</v>
      </c>
      <c r="J23" s="2" t="s">
        <v>74</v>
      </c>
    </row>
    <row r="24" spans="1:17" x14ac:dyDescent="0.2">
      <c r="B24" s="2" t="s">
        <v>189</v>
      </c>
      <c r="F24" s="2" t="s">
        <v>183</v>
      </c>
      <c r="H24" s="91">
        <f>H23*(H19/H18)</f>
        <v>107.65500149895075</v>
      </c>
      <c r="L24" s="2" t="s">
        <v>190</v>
      </c>
    </row>
    <row r="26" spans="1:17" x14ac:dyDescent="0.2">
      <c r="B26" s="2" t="s">
        <v>191</v>
      </c>
      <c r="F26" s="2" t="s">
        <v>142</v>
      </c>
      <c r="H26" s="92">
        <v>1.2E-2</v>
      </c>
      <c r="J26" s="2" t="s">
        <v>192</v>
      </c>
    </row>
    <row r="27" spans="1:17" x14ac:dyDescent="0.2">
      <c r="A27" s="175"/>
      <c r="B27" s="2" t="s">
        <v>193</v>
      </c>
      <c r="F27" s="2" t="s">
        <v>142</v>
      </c>
      <c r="H27" s="93">
        <f>ROUND(H23/H17-1,3)</f>
        <v>-1.7999999999999999E-2</v>
      </c>
      <c r="L27" s="2" t="s">
        <v>194</v>
      </c>
      <c r="N27" s="16"/>
      <c r="Q27" s="16"/>
    </row>
    <row r="28" spans="1:17" x14ac:dyDescent="0.2">
      <c r="A28" s="175"/>
      <c r="B28" s="2" t="s">
        <v>143</v>
      </c>
      <c r="F28" s="2" t="s">
        <v>142</v>
      </c>
      <c r="H28" s="93">
        <f>ROUND(H24/H23-1,3)</f>
        <v>4.2999999999999997E-2</v>
      </c>
      <c r="L28" s="11"/>
      <c r="N28" s="16"/>
    </row>
    <row r="29" spans="1:17" x14ac:dyDescent="0.2">
      <c r="B29" s="2" t="s">
        <v>144</v>
      </c>
      <c r="F29" s="2" t="s">
        <v>142</v>
      </c>
      <c r="H29" s="93">
        <f>ROUND(H20/H24-1,3)</f>
        <v>8.7999999999999995E-2</v>
      </c>
      <c r="L29" s="2" t="s">
        <v>195</v>
      </c>
      <c r="N29" s="16"/>
    </row>
    <row r="30" spans="1:17" x14ac:dyDescent="0.2">
      <c r="B30" s="2" t="s">
        <v>390</v>
      </c>
      <c r="F30" s="2" t="s">
        <v>142</v>
      </c>
      <c r="H30" s="93">
        <f>ROUND(H21/H20-1,3)</f>
        <v>1.9E-2</v>
      </c>
    </row>
    <row r="33" spans="2:12" s="7" customFormat="1" x14ac:dyDescent="0.2">
      <c r="B33" s="7" t="s">
        <v>196</v>
      </c>
    </row>
    <row r="35" spans="2:12" x14ac:dyDescent="0.2">
      <c r="B35" s="2" t="s">
        <v>427</v>
      </c>
      <c r="F35" s="2" t="s">
        <v>142</v>
      </c>
      <c r="H35" s="92">
        <v>0.03</v>
      </c>
      <c r="J35" s="2" t="s">
        <v>82</v>
      </c>
      <c r="L35" s="2" t="s">
        <v>197</v>
      </c>
    </row>
    <row r="37" spans="2:12" x14ac:dyDescent="0.2">
      <c r="B37" s="2" t="s">
        <v>425</v>
      </c>
      <c r="F37" s="2" t="s">
        <v>198</v>
      </c>
      <c r="H37" s="94">
        <f>(1+$H$35)^2</f>
        <v>1.0609</v>
      </c>
    </row>
    <row r="38" spans="2:12" x14ac:dyDescent="0.2">
      <c r="B38" s="2" t="s">
        <v>426</v>
      </c>
      <c r="F38" s="2" t="s">
        <v>198</v>
      </c>
      <c r="H38" s="94">
        <f>1+$H$35</f>
        <v>1.03</v>
      </c>
    </row>
    <row r="41" spans="2:12" s="7" customFormat="1" x14ac:dyDescent="0.2">
      <c r="B41" s="7" t="s">
        <v>199</v>
      </c>
    </row>
    <row r="43" spans="2:12" x14ac:dyDescent="0.2">
      <c r="B43" s="2" t="s">
        <v>428</v>
      </c>
      <c r="F43" s="2" t="s">
        <v>142</v>
      </c>
      <c r="H43" s="92">
        <v>5.9700000000000003E-2</v>
      </c>
      <c r="J43" s="2" t="s">
        <v>76</v>
      </c>
    </row>
    <row r="44" spans="2:12" x14ac:dyDescent="0.2">
      <c r="B44" s="2" t="s">
        <v>388</v>
      </c>
      <c r="F44" s="2" t="s">
        <v>142</v>
      </c>
      <c r="H44" s="92">
        <v>6.4600000000000005E-2</v>
      </c>
      <c r="J44" s="2" t="s">
        <v>79</v>
      </c>
    </row>
    <row r="45" spans="2:12" x14ac:dyDescent="0.2">
      <c r="B45" s="2" t="s">
        <v>389</v>
      </c>
      <c r="F45" s="2" t="s">
        <v>142</v>
      </c>
      <c r="H45" s="92">
        <v>5.7200000000000001E-2</v>
      </c>
      <c r="J45" s="2" t="s">
        <v>79</v>
      </c>
    </row>
    <row r="46" spans="2:12" x14ac:dyDescent="0.2">
      <c r="B46" s="2" t="s">
        <v>412</v>
      </c>
      <c r="F46" s="2" t="s">
        <v>142</v>
      </c>
      <c r="H46" s="92">
        <v>6.3799999999999996E-2</v>
      </c>
      <c r="J46" s="2" t="s">
        <v>79</v>
      </c>
    </row>
    <row r="49" spans="2:12" s="7" customFormat="1" x14ac:dyDescent="0.2">
      <c r="B49" s="7" t="s">
        <v>200</v>
      </c>
    </row>
    <row r="51" spans="2:12" x14ac:dyDescent="0.2">
      <c r="B51" s="2" t="s">
        <v>201</v>
      </c>
      <c r="F51" s="2" t="s">
        <v>142</v>
      </c>
      <c r="H51" s="92">
        <v>0.5</v>
      </c>
      <c r="L51" s="2" t="s">
        <v>202</v>
      </c>
    </row>
    <row r="57" spans="2:12" x14ac:dyDescent="0.2">
      <c r="B57" s="3" t="s">
        <v>58</v>
      </c>
    </row>
  </sheetData>
  <phoneticPr fontId="31"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1D255-CD9B-46F0-95D5-EFF9D6E176F5}">
  <sheetPr>
    <tabColor rgb="FFE1FFE1"/>
  </sheetPr>
  <dimension ref="A2:X51"/>
  <sheetViews>
    <sheetView showGridLines="0" zoomScale="85" zoomScaleNormal="85" workbookViewId="0">
      <pane xSplit="6" ySplit="12" topLeftCell="G13" activePane="bottomRight" state="frozen"/>
      <selection activeCell="A4" sqref="A4"/>
      <selection pane="topRight" activeCell="A4" sqref="A4"/>
      <selection pane="bottomLeft" activeCell="A4" sqref="A4"/>
      <selection pane="bottomRight" activeCell="N24" sqref="N24"/>
    </sheetView>
  </sheetViews>
  <sheetFormatPr defaultRowHeight="12.75" x14ac:dyDescent="0.2"/>
  <cols>
    <col min="1" max="1" width="5.7109375" style="2" customWidth="1"/>
    <col min="2" max="2" width="58.28515625" style="2" customWidth="1"/>
    <col min="3" max="5" width="5.710937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7" width="12.5703125" style="2" customWidth="1"/>
    <col min="18" max="18" width="28.7109375" style="2" customWidth="1"/>
    <col min="19" max="19" width="7.7109375" style="2" customWidth="1"/>
    <col min="20" max="21" width="12.5703125" style="2" customWidth="1"/>
    <col min="22" max="22" width="2.7109375" style="2" customWidth="1"/>
    <col min="23" max="23" width="20.7109375" style="2" customWidth="1"/>
    <col min="24" max="24" width="2.7109375" style="2" customWidth="1"/>
    <col min="25" max="25" width="30.7109375" style="2" customWidth="1"/>
    <col min="26" max="26" width="2.7109375" style="2" customWidth="1"/>
    <col min="27" max="41" width="13.7109375" style="2" customWidth="1"/>
    <col min="42" max="16384" width="9.140625" style="2"/>
  </cols>
  <sheetData>
    <row r="2" spans="2:20" s="10" customFormat="1" ht="18" x14ac:dyDescent="0.2">
      <c r="B2" s="10" t="s">
        <v>429</v>
      </c>
    </row>
    <row r="4" spans="2:20" x14ac:dyDescent="0.2">
      <c r="B4" s="17" t="s">
        <v>21</v>
      </c>
      <c r="C4" s="1"/>
      <c r="D4" s="1"/>
      <c r="L4"/>
    </row>
    <row r="5" spans="2:20" x14ac:dyDescent="0.2">
      <c r="B5" s="2" t="s">
        <v>430</v>
      </c>
      <c r="H5" s="11"/>
    </row>
    <row r="6" spans="2:20" x14ac:dyDescent="0.2">
      <c r="H6" s="11"/>
    </row>
    <row r="7" spans="2:20" x14ac:dyDescent="0.2">
      <c r="B7" s="18" t="s">
        <v>22</v>
      </c>
      <c r="H7" s="11"/>
    </row>
    <row r="8" spans="2:20" x14ac:dyDescent="0.2">
      <c r="B8" s="18" t="s">
        <v>431</v>
      </c>
      <c r="H8" s="11"/>
      <c r="T8" s="11"/>
    </row>
    <row r="9" spans="2:20" x14ac:dyDescent="0.2">
      <c r="B9" s="18" t="s">
        <v>203</v>
      </c>
    </row>
    <row r="11" spans="2:20" s="7" customFormat="1" ht="25.5" x14ac:dyDescent="0.2">
      <c r="B11" s="7" t="s">
        <v>36</v>
      </c>
      <c r="F11" s="7" t="s">
        <v>19</v>
      </c>
      <c r="H11" s="7" t="s">
        <v>20</v>
      </c>
      <c r="J11" s="7" t="s">
        <v>40</v>
      </c>
      <c r="L11" s="95" t="s">
        <v>204</v>
      </c>
      <c r="M11" s="95" t="s">
        <v>205</v>
      </c>
      <c r="N11" s="95" t="s">
        <v>206</v>
      </c>
      <c r="O11" s="95" t="s">
        <v>207</v>
      </c>
      <c r="P11" s="95" t="s">
        <v>208</v>
      </c>
      <c r="R11" s="7" t="s">
        <v>37</v>
      </c>
      <c r="T11" s="7" t="s">
        <v>38</v>
      </c>
    </row>
    <row r="14" spans="2:20" s="7" customFormat="1" x14ac:dyDescent="0.2">
      <c r="B14" s="7" t="s">
        <v>432</v>
      </c>
    </row>
    <row r="15" spans="2:20" x14ac:dyDescent="0.2">
      <c r="L15" s="96"/>
      <c r="M15" s="96"/>
      <c r="N15" s="96"/>
      <c r="O15" s="96"/>
      <c r="P15" s="96"/>
    </row>
    <row r="16" spans="2:20" x14ac:dyDescent="0.2">
      <c r="B16" s="17" t="s">
        <v>209</v>
      </c>
      <c r="L16" s="96"/>
      <c r="M16" s="96"/>
      <c r="N16" s="96"/>
      <c r="O16" s="96"/>
      <c r="P16" s="96"/>
    </row>
    <row r="17" spans="1:20" x14ac:dyDescent="0.2">
      <c r="A17" s="175"/>
      <c r="B17" s="2" t="s">
        <v>215</v>
      </c>
      <c r="F17" s="2" t="s">
        <v>149</v>
      </c>
      <c r="J17" s="97">
        <f>SUM(L17:P17)</f>
        <v>57697076.181361765</v>
      </c>
      <c r="L17" s="22">
        <v>364453.89301103319</v>
      </c>
      <c r="M17" s="22">
        <v>38075465.111224987</v>
      </c>
      <c r="N17" s="22">
        <v>2735273.1734040701</v>
      </c>
      <c r="O17" s="22">
        <v>16505572.410101922</v>
      </c>
      <c r="P17" s="22">
        <v>16311.593619753781</v>
      </c>
      <c r="R17" s="2" t="s">
        <v>442</v>
      </c>
      <c r="T17" s="2" t="s">
        <v>211</v>
      </c>
    </row>
    <row r="18" spans="1:20" x14ac:dyDescent="0.2">
      <c r="A18" s="175"/>
      <c r="B18" s="2" t="s">
        <v>433</v>
      </c>
      <c r="F18" s="2" t="s">
        <v>149</v>
      </c>
      <c r="J18" s="97">
        <f>SUM(L18:P18)</f>
        <v>5473819.4055978525</v>
      </c>
      <c r="L18" s="22">
        <v>59348.898891860561</v>
      </c>
      <c r="M18" s="22">
        <v>2951807.1632914026</v>
      </c>
      <c r="N18" s="22">
        <v>281494.54088774108</v>
      </c>
      <c r="O18" s="22">
        <v>2122614.2905211276</v>
      </c>
      <c r="P18" s="22">
        <v>58554.512005719866</v>
      </c>
      <c r="R18" s="2" t="s">
        <v>442</v>
      </c>
      <c r="T18" s="2" t="s">
        <v>212</v>
      </c>
    </row>
    <row r="19" spans="1:20" x14ac:dyDescent="0.2">
      <c r="L19" s="96"/>
      <c r="M19" s="96"/>
      <c r="N19" s="96"/>
      <c r="O19" s="96"/>
      <c r="P19" s="96"/>
    </row>
    <row r="20" spans="1:20" x14ac:dyDescent="0.2">
      <c r="B20" s="17" t="s">
        <v>213</v>
      </c>
    </row>
    <row r="21" spans="1:20" x14ac:dyDescent="0.2">
      <c r="B21" s="2" t="s">
        <v>215</v>
      </c>
      <c r="F21" s="2" t="s">
        <v>214</v>
      </c>
      <c r="H21" s="17"/>
      <c r="N21" s="22">
        <v>12597117.704368059</v>
      </c>
      <c r="O21" s="96"/>
      <c r="R21" s="2" t="s">
        <v>442</v>
      </c>
    </row>
    <row r="22" spans="1:20" x14ac:dyDescent="0.2">
      <c r="B22" s="2" t="s">
        <v>433</v>
      </c>
      <c r="F22" s="2" t="s">
        <v>214</v>
      </c>
      <c r="N22" s="22">
        <v>916773.85358333378</v>
      </c>
      <c r="O22" s="96"/>
      <c r="R22" s="2" t="s">
        <v>442</v>
      </c>
    </row>
    <row r="23" spans="1:20" x14ac:dyDescent="0.2">
      <c r="O23" s="96"/>
    </row>
    <row r="24" spans="1:20" x14ac:dyDescent="0.2">
      <c r="B24" s="2" t="s">
        <v>210</v>
      </c>
      <c r="F24" s="2" t="s">
        <v>214</v>
      </c>
      <c r="N24" s="22">
        <v>13513891.557951398</v>
      </c>
      <c r="O24" s="96"/>
      <c r="R24" s="2" t="s">
        <v>442</v>
      </c>
    </row>
    <row r="25" spans="1:20" x14ac:dyDescent="0.2">
      <c r="L25" s="96"/>
      <c r="M25" s="96"/>
      <c r="N25" s="96"/>
      <c r="O25" s="96"/>
      <c r="P25" s="96"/>
    </row>
    <row r="26" spans="1:20" x14ac:dyDescent="0.2">
      <c r="B26" s="17" t="s">
        <v>434</v>
      </c>
      <c r="O26" s="96"/>
    </row>
    <row r="27" spans="1:20" x14ac:dyDescent="0.2">
      <c r="B27" s="2" t="s">
        <v>216</v>
      </c>
      <c r="F27" s="2" t="s">
        <v>214</v>
      </c>
      <c r="N27" s="22">
        <v>11680343.850784749</v>
      </c>
      <c r="O27" s="96"/>
      <c r="R27" s="2" t="s">
        <v>442</v>
      </c>
    </row>
    <row r="28" spans="1:20" x14ac:dyDescent="0.2">
      <c r="B28" s="2" t="s">
        <v>435</v>
      </c>
      <c r="F28" s="2" t="s">
        <v>214</v>
      </c>
      <c r="N28" s="22">
        <v>916773.85358333378</v>
      </c>
      <c r="O28" s="96"/>
      <c r="R28" s="2" t="s">
        <v>442</v>
      </c>
    </row>
    <row r="29" spans="1:20" x14ac:dyDescent="0.2">
      <c r="B29" s="2" t="s">
        <v>436</v>
      </c>
      <c r="F29" s="2" t="s">
        <v>214</v>
      </c>
      <c r="N29" s="22">
        <v>10763569.997201407</v>
      </c>
      <c r="O29" s="96"/>
      <c r="R29" s="2" t="s">
        <v>442</v>
      </c>
    </row>
    <row r="30" spans="1:20" x14ac:dyDescent="0.2">
      <c r="L30" s="96"/>
      <c r="M30" s="96"/>
      <c r="N30" s="96"/>
      <c r="O30" s="96"/>
      <c r="P30" s="96"/>
      <c r="Q30" s="96"/>
      <c r="R30" s="96"/>
    </row>
    <row r="31" spans="1:20" x14ac:dyDescent="0.2">
      <c r="B31" s="1" t="s">
        <v>217</v>
      </c>
      <c r="L31" s="96"/>
      <c r="M31" s="96"/>
      <c r="N31" s="96"/>
      <c r="O31" s="96"/>
      <c r="P31" s="96"/>
    </row>
    <row r="32" spans="1:20" x14ac:dyDescent="0.2">
      <c r="B32" s="2" t="s">
        <v>437</v>
      </c>
      <c r="F32" s="2" t="s">
        <v>149</v>
      </c>
      <c r="J32" s="97">
        <f>SUM(L32:P32)</f>
        <v>15299438.415400999</v>
      </c>
      <c r="L32" s="22">
        <v>75643.334961504763</v>
      </c>
      <c r="M32" s="22">
        <v>9460213.8645966854</v>
      </c>
      <c r="N32" s="22">
        <v>2310657.1750644064</v>
      </c>
      <c r="O32" s="22">
        <v>3333954.4488974279</v>
      </c>
      <c r="P32" s="22">
        <v>118969.59188097197</v>
      </c>
      <c r="R32" s="2" t="s">
        <v>443</v>
      </c>
      <c r="T32" t="s">
        <v>528</v>
      </c>
    </row>
    <row r="33" spans="2:24" x14ac:dyDescent="0.2">
      <c r="B33" s="16"/>
      <c r="L33" s="96"/>
      <c r="M33" s="96"/>
      <c r="N33" s="96"/>
      <c r="O33" s="96"/>
      <c r="P33" s="96"/>
    </row>
    <row r="34" spans="2:24" x14ac:dyDescent="0.2">
      <c r="B34" s="2" t="s">
        <v>438</v>
      </c>
      <c r="F34" s="2" t="s">
        <v>149</v>
      </c>
      <c r="J34" s="97">
        <f>SUM(L34:P34)</f>
        <v>15299438.415400999</v>
      </c>
      <c r="L34" s="22">
        <v>75643.334961504763</v>
      </c>
      <c r="M34" s="22">
        <v>9460213.8645966854</v>
      </c>
      <c r="N34" s="22">
        <v>2310657.1750644064</v>
      </c>
      <c r="O34" s="22">
        <v>3333954.4488974279</v>
      </c>
      <c r="P34" s="22">
        <v>118969.59188097197</v>
      </c>
      <c r="R34" s="2" t="s">
        <v>443</v>
      </c>
      <c r="T34" t="s">
        <v>528</v>
      </c>
    </row>
    <row r="35" spans="2:24" x14ac:dyDescent="0.2">
      <c r="B35" s="16"/>
      <c r="L35" s="96"/>
      <c r="M35" s="96"/>
      <c r="N35" s="96"/>
      <c r="O35" s="96"/>
      <c r="P35" s="96"/>
    </row>
    <row r="37" spans="2:24" s="7" customFormat="1" x14ac:dyDescent="0.2">
      <c r="B37" s="7" t="s">
        <v>218</v>
      </c>
    </row>
    <row r="39" spans="2:24" x14ac:dyDescent="0.2">
      <c r="B39" s="1" t="s">
        <v>439</v>
      </c>
    </row>
    <row r="40" spans="2:24" x14ac:dyDescent="0.2">
      <c r="B40" s="2" t="s">
        <v>440</v>
      </c>
      <c r="F40" s="2" t="s">
        <v>142</v>
      </c>
      <c r="L40" s="98">
        <v>0</v>
      </c>
      <c r="M40" s="98">
        <v>0.5</v>
      </c>
      <c r="N40" s="98">
        <v>0</v>
      </c>
      <c r="O40" s="98">
        <v>0.5</v>
      </c>
      <c r="P40" s="98">
        <v>0.5</v>
      </c>
      <c r="R40" s="2" t="s">
        <v>444</v>
      </c>
    </row>
    <row r="41" spans="2:24" x14ac:dyDescent="0.2">
      <c r="B41" s="2" t="s">
        <v>441</v>
      </c>
      <c r="F41" s="2" t="s">
        <v>142</v>
      </c>
      <c r="L41" s="98">
        <v>0</v>
      </c>
      <c r="M41" s="98">
        <v>0.5</v>
      </c>
      <c r="N41" s="98">
        <v>0</v>
      </c>
      <c r="O41" s="98">
        <v>0.5</v>
      </c>
      <c r="P41" s="98">
        <v>0.5</v>
      </c>
      <c r="R41" s="2" t="s">
        <v>444</v>
      </c>
    </row>
    <row r="42" spans="2:24" x14ac:dyDescent="0.2">
      <c r="B42" s="2" t="s">
        <v>219</v>
      </c>
      <c r="F42" s="2" t="s">
        <v>142</v>
      </c>
      <c r="L42" s="98">
        <v>0</v>
      </c>
      <c r="M42" s="99">
        <v>0.12277444991284184</v>
      </c>
      <c r="N42" s="99">
        <v>0.31407453346946029</v>
      </c>
      <c r="O42" s="99">
        <v>0.12911127212132739</v>
      </c>
      <c r="P42" s="100">
        <f>O42</f>
        <v>0.12911127212132739</v>
      </c>
      <c r="R42" s="2" t="s">
        <v>443</v>
      </c>
      <c r="T42" t="s">
        <v>527</v>
      </c>
      <c r="X42" s="11"/>
    </row>
    <row r="43" spans="2:24" x14ac:dyDescent="0.2">
      <c r="T43" s="16"/>
    </row>
    <row r="44" spans="2:24" x14ac:dyDescent="0.2">
      <c r="L44" s="96"/>
      <c r="M44" s="96"/>
      <c r="N44" s="96"/>
      <c r="O44" s="96"/>
      <c r="P44" s="96"/>
    </row>
    <row r="45" spans="2:24" x14ac:dyDescent="0.2">
      <c r="L45" s="96"/>
      <c r="M45" s="96"/>
      <c r="N45" s="96"/>
      <c r="O45" s="96"/>
      <c r="P45" s="96"/>
    </row>
    <row r="46" spans="2:24" x14ac:dyDescent="0.2">
      <c r="L46" s="96"/>
      <c r="M46" s="96"/>
      <c r="N46" s="96"/>
      <c r="O46" s="96"/>
      <c r="P46" s="96"/>
    </row>
    <row r="49" spans="2:14" x14ac:dyDescent="0.2">
      <c r="B49" s="3" t="s">
        <v>58</v>
      </c>
    </row>
    <row r="51" spans="2:14" x14ac:dyDescent="0.2">
      <c r="N51" s="96"/>
    </row>
  </sheetData>
  <phoneticPr fontId="31" type="noConversion"/>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1CB1C9F-CCF9-4E38-862A-1CB92CDDD7E1}">
  <ds:schemaRefs>
    <ds:schemaRef ds:uri="http://schemas.microsoft.com/sharepoint/v3/contenttype/forms"/>
  </ds:schemaRefs>
</ds:datastoreItem>
</file>

<file path=customXml/itemProps2.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4.xml><?xml version="1.0" encoding="utf-8"?>
<ds:datastoreItem xmlns:ds="http://schemas.openxmlformats.org/officeDocument/2006/customXml" ds:itemID="{BACF5907-5A9C-413A-AB63-8A8AE74C2D6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Titelblad</vt:lpstr>
      <vt:lpstr>Toelichting</vt:lpstr>
      <vt:lpstr>Bronnen en toepassingen</vt:lpstr>
      <vt:lpstr>Resultaat</vt:lpstr>
      <vt:lpstr>Dictum &amp; Bijlagen Elektriciteit</vt:lpstr>
      <vt:lpstr>Dictum &amp; Bijlagen Drinkwater</vt:lpstr>
      <vt:lpstr>Input --&gt;</vt:lpstr>
      <vt:lpstr>Parameters</vt:lpstr>
      <vt:lpstr>Gegevens kosten 2022</vt:lpstr>
      <vt:lpstr>Gegevens volumes 2022</vt:lpstr>
      <vt:lpstr>Gegevens raming 2024</vt:lpstr>
      <vt:lpstr>Omvangrijke gebeurtenissen 2024</vt:lpstr>
      <vt:lpstr>Input voor correcties</vt:lpstr>
      <vt:lpstr>Berekening correcties --&gt;</vt:lpstr>
      <vt:lpstr>Berekening volumecorrectie 2022</vt:lpstr>
      <vt:lpstr>Berekening profit sharing 2022</vt:lpstr>
      <vt:lpstr>Totaaloverzicht correcties</vt:lpstr>
      <vt:lpstr>Berekening tarieven --&gt;</vt:lpstr>
      <vt:lpstr>Berekening kostenbasis 2024</vt:lpstr>
      <vt:lpstr>Variabel tarief elektriciteit</vt:lpstr>
      <vt:lpstr>Vaste tarieven elektriciteit</vt:lpstr>
      <vt:lpstr>Variabel tarief drinkwater</vt:lpstr>
      <vt:lpstr>Vaste tarieven drinkwater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2023-12-13T09:27:31Z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