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filterPrivacy="1" defaultThemeVersion="124226"/>
  <xr:revisionPtr revIDLastSave="0" documentId="13_ncr:1_{A5BE8E51-5385-4A26-9AA2-929A701AA1BD}" xr6:coauthVersionLast="47" xr6:coauthVersionMax="47" xr10:uidLastSave="{00000000-0000-0000-0000-000000000000}"/>
  <bookViews>
    <workbookView xWindow="-28920" yWindow="-120" windowWidth="29040" windowHeight="15840" tabRatio="809" xr2:uid="{00000000-000D-0000-FFFF-FFFF00000000}"/>
  </bookViews>
  <sheets>
    <sheet name="Cover sheet" sheetId="9" r:id="rId1"/>
    <sheet name="Explanation" sheetId="10" r:id="rId2"/>
    <sheet name="Sources and specifics" sheetId="11" r:id="rId3"/>
    <sheet name="Result" sheetId="21" r:id="rId4"/>
    <sheet name="Input --&gt;" sheetId="13" r:id="rId5"/>
    <sheet name="Parameters" sheetId="18" r:id="rId6"/>
    <sheet name="Historical data" sheetId="24" r:id="rId7"/>
    <sheet name="Estimates for 2024" sheetId="27" r:id="rId8"/>
    <sheet name="Major occurrences" sheetId="45" r:id="rId9"/>
    <sheet name="Data on corrections" sheetId="41" r:id="rId10"/>
    <sheet name="Calculations corrections --&gt;" sheetId="15" r:id="rId11"/>
    <sheet name="Volume-effect 2022" sheetId="33" r:id="rId12"/>
    <sheet name="Profit Sharing 2022" sheetId="22" r:id="rId13"/>
    <sheet name="Energy cost correction 2023" sheetId="35" r:id="rId14"/>
    <sheet name="Capital cost correction" sheetId="42" r:id="rId15"/>
    <sheet name="Overview corrections" sheetId="34" r:id="rId16"/>
    <sheet name="Calculations tariffs --&gt;" sheetId="29" r:id="rId17"/>
    <sheet name="Calculation cost base 2024" sheetId="36" r:id="rId18"/>
    <sheet name="Electricity Production" sheetId="37" r:id="rId19"/>
    <sheet name="Electricity Distribution" sheetId="31" r:id="rId20"/>
    <sheet name="Water Production" sheetId="40" r:id="rId21"/>
    <sheet name="Water Distribution" sheetId="38" r:id="rId22"/>
    <sheet name="Dictum&amp;Bijlage 1 Electricity EN" sheetId="43" r:id="rId23"/>
    <sheet name="Dictum&amp;Bijlage 1 Water EN" sheetId="44" r:id="rId2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73" i="43" l="1"/>
  <c r="F70" i="44" l="1"/>
  <c r="F69" i="44"/>
  <c r="E67" i="44"/>
  <c r="G65" i="44"/>
  <c r="E64" i="44"/>
  <c r="G60" i="44"/>
  <c r="F60" i="44"/>
  <c r="F59" i="44"/>
  <c r="F58" i="44"/>
  <c r="G58" i="44"/>
  <c r="F57" i="44"/>
  <c r="G57" i="44"/>
  <c r="E57" i="44"/>
  <c r="E54" i="44"/>
  <c r="L19" i="45" l="1"/>
  <c r="L40" i="45"/>
  <c r="L31" i="45"/>
  <c r="L45" i="45" s="1"/>
  <c r="L46" i="45" s="1"/>
  <c r="L24" i="45"/>
  <c r="L36" i="45" s="1"/>
  <c r="L37" i="45" s="1"/>
  <c r="F52" i="44"/>
  <c r="G52" i="44"/>
  <c r="F51" i="44"/>
  <c r="G51" i="44"/>
  <c r="E44" i="44"/>
  <c r="E43" i="44"/>
  <c r="E42" i="44"/>
  <c r="E41" i="44"/>
  <c r="E38" i="44"/>
  <c r="E36" i="44"/>
  <c r="E35" i="44"/>
  <c r="E34" i="44"/>
  <c r="E32" i="44"/>
  <c r="E33" i="44"/>
  <c r="E31" i="44"/>
  <c r="E21" i="44"/>
  <c r="E20" i="44"/>
  <c r="E19" i="44"/>
  <c r="F87" i="43"/>
  <c r="E85" i="43"/>
  <c r="E83" i="43"/>
  <c r="E82" i="43"/>
  <c r="F77" i="43"/>
  <c r="E77" i="43"/>
  <c r="F72" i="43"/>
  <c r="F70" i="43"/>
  <c r="E71" i="43"/>
  <c r="F68" i="43"/>
  <c r="F69" i="43"/>
  <c r="E69" i="43"/>
  <c r="E68" i="43"/>
  <c r="F61" i="43"/>
  <c r="F62" i="43"/>
  <c r="E62" i="43"/>
  <c r="E61" i="43"/>
  <c r="F59" i="43"/>
  <c r="F60" i="43"/>
  <c r="E60" i="43"/>
  <c r="E59" i="43"/>
  <c r="E56" i="43"/>
  <c r="E55" i="43"/>
  <c r="E54" i="43"/>
  <c r="E53" i="43"/>
  <c r="L47" i="45" l="1"/>
  <c r="L38" i="45"/>
  <c r="L39" i="45"/>
  <c r="L41" i="45" s="1"/>
  <c r="L42" i="45" s="1"/>
  <c r="E51" i="43"/>
  <c r="E52" i="43"/>
  <c r="E50" i="43"/>
  <c r="E43" i="43"/>
  <c r="E42" i="43"/>
  <c r="E39" i="43"/>
  <c r="E38" i="43"/>
  <c r="L48" i="45" l="1"/>
  <c r="M45" i="31"/>
  <c r="L49" i="45" l="1"/>
  <c r="L50" i="45" s="1"/>
  <c r="L52" i="45" s="1"/>
  <c r="L49" i="36" l="1"/>
  <c r="L69" i="36" s="1"/>
  <c r="E65" i="43"/>
  <c r="J49" i="36"/>
  <c r="L39" i="24"/>
  <c r="L23" i="36" s="1"/>
  <c r="L38" i="22" l="1"/>
  <c r="J18" i="22" l="1"/>
  <c r="L50" i="22" l="1"/>
  <c r="L20" i="34" l="1"/>
  <c r="H31" i="24" l="1"/>
  <c r="P27" i="22" l="1"/>
  <c r="O27" i="22"/>
  <c r="N27" i="22"/>
  <c r="M27" i="22"/>
  <c r="L27" i="22"/>
  <c r="M26" i="22"/>
  <c r="N26" i="22"/>
  <c r="O26" i="22"/>
  <c r="P26" i="22"/>
  <c r="L26" i="22"/>
  <c r="J18" i="24"/>
  <c r="J17" i="24"/>
  <c r="J26" i="22" l="1"/>
  <c r="J27" i="22"/>
  <c r="N38" i="27" l="1"/>
  <c r="N40" i="27" s="1"/>
  <c r="E66" i="44" s="1"/>
  <c r="P28" i="27"/>
  <c r="E37" i="44" s="1"/>
  <c r="B32" i="31" l="1"/>
  <c r="B93" i="31" s="1"/>
  <c r="M32" i="31"/>
  <c r="M65" i="27"/>
  <c r="F88" i="43" s="1"/>
  <c r="P50" i="24" l="1"/>
  <c r="O18" i="42" l="1"/>
  <c r="O23" i="42" l="1"/>
  <c r="O20" i="42"/>
  <c r="O19" i="42"/>
  <c r="O14" i="42"/>
  <c r="O15" i="42"/>
  <c r="O13" i="42"/>
  <c r="O28" i="42" l="1"/>
  <c r="O32" i="42" s="1"/>
  <c r="O29" i="42"/>
  <c r="O33" i="42" s="1"/>
  <c r="F48" i="44" l="1"/>
  <c r="O30" i="34"/>
  <c r="O48" i="34" s="1"/>
  <c r="O46" i="36" s="1"/>
  <c r="F47" i="44"/>
  <c r="O29" i="34"/>
  <c r="O47" i="34" s="1"/>
  <c r="O45" i="36" s="1"/>
  <c r="J48" i="34"/>
  <c r="J47" i="34"/>
  <c r="O35" i="38"/>
  <c r="O46" i="24"/>
  <c r="L35" i="27"/>
  <c r="L13" i="37" l="1"/>
  <c r="E84" i="43"/>
  <c r="M52" i="31"/>
  <c r="M98" i="31" s="1"/>
  <c r="H41" i="21" s="1"/>
  <c r="H13" i="38" l="1"/>
  <c r="O53" i="38" l="1"/>
  <c r="H60" i="21" s="1"/>
  <c r="P25" i="36"/>
  <c r="O30" i="38"/>
  <c r="N30" i="38"/>
  <c r="N14" i="40"/>
  <c r="N13" i="40"/>
  <c r="M46" i="31"/>
  <c r="L42" i="31"/>
  <c r="L15" i="37"/>
  <c r="N24" i="36"/>
  <c r="L28" i="36" l="1"/>
  <c r="P19" i="36"/>
  <c r="O19" i="36"/>
  <c r="L19" i="36"/>
  <c r="M19" i="34"/>
  <c r="N19" i="34"/>
  <c r="O19" i="34"/>
  <c r="P19" i="34"/>
  <c r="L19" i="34"/>
  <c r="M18" i="34"/>
  <c r="L17" i="34"/>
  <c r="N18" i="35"/>
  <c r="N17" i="35"/>
  <c r="N19" i="35"/>
  <c r="N20" i="35"/>
  <c r="N16" i="35"/>
  <c r="O45" i="22"/>
  <c r="M45" i="22"/>
  <c r="O44" i="22"/>
  <c r="M44" i="22"/>
  <c r="N43" i="22"/>
  <c r="L42" i="22"/>
  <c r="L41" i="22"/>
  <c r="M38" i="22"/>
  <c r="N38" i="22"/>
  <c r="O38" i="22"/>
  <c r="P38" i="22"/>
  <c r="O37" i="22"/>
  <c r="N28" i="22"/>
  <c r="O28" i="22"/>
  <c r="P28" i="22"/>
  <c r="L28" i="22"/>
  <c r="L25" i="22"/>
  <c r="M28" i="22" l="1"/>
  <c r="M33" i="22" s="1"/>
  <c r="L33" i="22"/>
  <c r="N33" i="22"/>
  <c r="O63" i="22"/>
  <c r="O64" i="22"/>
  <c r="P25" i="22" l="1"/>
  <c r="M25" i="22"/>
  <c r="N25" i="22"/>
  <c r="O25" i="22"/>
  <c r="M24" i="22"/>
  <c r="M31" i="22" s="1"/>
  <c r="N24" i="22"/>
  <c r="O24" i="22"/>
  <c r="P24" i="22"/>
  <c r="L24" i="22"/>
  <c r="J24" i="22" l="1"/>
  <c r="J25" i="22"/>
  <c r="L20" i="22"/>
  <c r="M20" i="22"/>
  <c r="N20" i="22"/>
  <c r="P20" i="22"/>
  <c r="O19" i="22"/>
  <c r="O20" i="22"/>
  <c r="O21" i="22"/>
  <c r="M18" i="22"/>
  <c r="N18" i="22"/>
  <c r="O18" i="22"/>
  <c r="P18" i="22"/>
  <c r="L18" i="22"/>
  <c r="H14" i="22"/>
  <c r="H13" i="22"/>
  <c r="O20" i="33"/>
  <c r="M20" i="33"/>
  <c r="M18" i="33"/>
  <c r="N18" i="33"/>
  <c r="O18" i="33"/>
  <c r="P18" i="33"/>
  <c r="L18" i="33"/>
  <c r="M17" i="33"/>
  <c r="N17" i="33"/>
  <c r="O17" i="33"/>
  <c r="P17" i="33"/>
  <c r="L17" i="33"/>
  <c r="M13" i="33" l="1"/>
  <c r="N13" i="33"/>
  <c r="O13" i="33"/>
  <c r="P13" i="33"/>
  <c r="L13" i="33"/>
  <c r="N25" i="35" l="1"/>
  <c r="N24" i="35"/>
  <c r="N27" i="35" l="1"/>
  <c r="N26" i="34" s="1"/>
  <c r="L43" i="22"/>
  <c r="O50" i="22"/>
  <c r="N31" i="22"/>
  <c r="M32" i="22"/>
  <c r="M53" i="22" s="1"/>
  <c r="N32" i="22"/>
  <c r="M54" i="22"/>
  <c r="P50" i="22"/>
  <c r="N54" i="22"/>
  <c r="L31" i="22"/>
  <c r="L54" i="22"/>
  <c r="L32" i="22"/>
  <c r="J18" i="33"/>
  <c r="J17" i="33"/>
  <c r="J13" i="33"/>
  <c r="N53" i="22" l="1"/>
  <c r="L53" i="22"/>
  <c r="M63" i="22"/>
  <c r="M64" i="22"/>
  <c r="O65" i="22"/>
  <c r="O67" i="22" s="1"/>
  <c r="N50" i="22"/>
  <c r="M50" i="22"/>
  <c r="M55" i="22"/>
  <c r="N55" i="22"/>
  <c r="J50" i="22" l="1"/>
  <c r="O25" i="34"/>
  <c r="F53" i="44"/>
  <c r="L55" i="22"/>
  <c r="L58" i="22"/>
  <c r="L59" i="22" s="1"/>
  <c r="L24" i="34" s="1"/>
  <c r="M65" i="22"/>
  <c r="M67" i="22" s="1"/>
  <c r="M25" i="34" s="1"/>
  <c r="N58" i="22"/>
  <c r="N59" i="22" s="1"/>
  <c r="N24" i="34" s="1"/>
  <c r="M58" i="22"/>
  <c r="M59" i="22" s="1"/>
  <c r="M24" i="34" s="1"/>
  <c r="N25" i="33" l="1"/>
  <c r="O25" i="33" l="1"/>
  <c r="O26" i="33" s="1"/>
  <c r="O23" i="34" s="1"/>
  <c r="N26" i="33"/>
  <c r="N23" i="34" s="1"/>
  <c r="L25" i="33"/>
  <c r="P25" i="33"/>
  <c r="P26" i="33" s="1"/>
  <c r="P23" i="34" s="1"/>
  <c r="M25" i="33"/>
  <c r="M26" i="33" s="1"/>
  <c r="M23" i="34" s="1"/>
  <c r="L26" i="33" l="1"/>
  <c r="L23" i="34" s="1"/>
  <c r="J25" i="33"/>
  <c r="J26" i="33" l="1"/>
  <c r="J32" i="41" l="1"/>
  <c r="J31" i="41"/>
  <c r="J30" i="41"/>
  <c r="J29" i="41"/>
  <c r="M24" i="36"/>
  <c r="H15" i="22"/>
  <c r="P33" i="22" s="1"/>
  <c r="O32" i="36"/>
  <c r="L22" i="27"/>
  <c r="J18" i="41"/>
  <c r="J15" i="41"/>
  <c r="J14" i="41"/>
  <c r="M57" i="31" l="1"/>
  <c r="E81" i="43"/>
  <c r="P54" i="22"/>
  <c r="O33" i="22"/>
  <c r="O31" i="22"/>
  <c r="P32" i="22"/>
  <c r="O32" i="22"/>
  <c r="P31" i="22"/>
  <c r="P30" i="38"/>
  <c r="P24" i="36"/>
  <c r="L24" i="27"/>
  <c r="L14" i="37" s="1"/>
  <c r="L24" i="36"/>
  <c r="L16" i="37"/>
  <c r="O24" i="36"/>
  <c r="J31" i="22" l="1"/>
  <c r="J32" i="22"/>
  <c r="O54" i="22"/>
  <c r="J54" i="22" s="1"/>
  <c r="J33" i="22"/>
  <c r="P53" i="22"/>
  <c r="P55" i="22" s="1"/>
  <c r="P58" i="22" s="1"/>
  <c r="P59" i="22" s="1"/>
  <c r="P24" i="34" s="1"/>
  <c r="O53" i="22"/>
  <c r="M23" i="36"/>
  <c r="N23" i="36"/>
  <c r="O23" i="36"/>
  <c r="P23" i="36"/>
  <c r="O62" i="36"/>
  <c r="M41" i="36"/>
  <c r="N41" i="36"/>
  <c r="O41" i="36"/>
  <c r="P41" i="36"/>
  <c r="M42" i="36"/>
  <c r="N42" i="36"/>
  <c r="O42" i="36"/>
  <c r="P42" i="36"/>
  <c r="L42" i="36"/>
  <c r="L41" i="36"/>
  <c r="M30" i="36"/>
  <c r="N30" i="36"/>
  <c r="O30" i="36"/>
  <c r="M31" i="36"/>
  <c r="N31" i="36"/>
  <c r="O31" i="36"/>
  <c r="L31" i="36"/>
  <c r="L30" i="36"/>
  <c r="M28" i="36"/>
  <c r="N28" i="36"/>
  <c r="O28" i="36"/>
  <c r="O35" i="36" s="1"/>
  <c r="F43" i="44" s="1"/>
  <c r="P28" i="36"/>
  <c r="M29" i="36"/>
  <c r="N29" i="36"/>
  <c r="O29" i="36"/>
  <c r="P29" i="36"/>
  <c r="L29" i="36"/>
  <c r="H18" i="36"/>
  <c r="O34" i="38"/>
  <c r="O57" i="38" s="1"/>
  <c r="H64" i="21" s="1"/>
  <c r="O33" i="38"/>
  <c r="O56" i="38" s="1"/>
  <c r="H63" i="21" s="1"/>
  <c r="O55" i="22" l="1"/>
  <c r="J53" i="22"/>
  <c r="O58" i="22"/>
  <c r="O59" i="22" s="1"/>
  <c r="O24" i="34" s="1"/>
  <c r="J55" i="22"/>
  <c r="O38" i="36"/>
  <c r="F42" i="44" s="1"/>
  <c r="P38" i="36"/>
  <c r="G42" i="44" s="1"/>
  <c r="O36" i="36"/>
  <c r="P36" i="36"/>
  <c r="G44" i="44" s="1"/>
  <c r="P35" i="36"/>
  <c r="G43" i="44" s="1"/>
  <c r="O37" i="36"/>
  <c r="F41" i="44" s="1"/>
  <c r="P37" i="36"/>
  <c r="G41" i="44" s="1"/>
  <c r="O59" i="36" l="1"/>
  <c r="O60" i="36" s="1"/>
  <c r="F44" i="44"/>
  <c r="P59" i="36"/>
  <c r="O19" i="38"/>
  <c r="L33" i="37" l="1"/>
  <c r="H15" i="21" s="1"/>
  <c r="M54" i="31" l="1"/>
  <c r="M55" i="31"/>
  <c r="M53" i="31"/>
  <c r="H13" i="31"/>
  <c r="M63" i="31"/>
  <c r="M101" i="31" l="1"/>
  <c r="H44" i="21" s="1"/>
  <c r="M103" i="31"/>
  <c r="H46" i="21" s="1"/>
  <c r="M102" i="31"/>
  <c r="H45" i="21" s="1"/>
  <c r="M17" i="31" l="1"/>
  <c r="M18" i="31"/>
  <c r="M19" i="31"/>
  <c r="M20" i="31"/>
  <c r="M21" i="31"/>
  <c r="M22" i="31"/>
  <c r="M23" i="31"/>
  <c r="M24" i="31"/>
  <c r="M25" i="31"/>
  <c r="M26" i="31"/>
  <c r="M27" i="31"/>
  <c r="M28" i="31"/>
  <c r="M29" i="31"/>
  <c r="M30" i="31"/>
  <c r="M31" i="31"/>
  <c r="M16" i="31"/>
  <c r="B30" i="31"/>
  <c r="B91" i="31" s="1"/>
  <c r="B31" i="31"/>
  <c r="B92" i="31" s="1"/>
  <c r="B28" i="31"/>
  <c r="B89" i="31" s="1"/>
  <c r="B29" i="31"/>
  <c r="B90" i="31" s="1"/>
  <c r="B17" i="31"/>
  <c r="B78" i="31" s="1"/>
  <c r="B18" i="31"/>
  <c r="B79" i="31" s="1"/>
  <c r="B19" i="31"/>
  <c r="B80" i="31" s="1"/>
  <c r="B20" i="31"/>
  <c r="B81" i="31" s="1"/>
  <c r="B21" i="31"/>
  <c r="B82" i="31" s="1"/>
  <c r="B22" i="31"/>
  <c r="B83" i="31" s="1"/>
  <c r="B23" i="31"/>
  <c r="B84" i="31" s="1"/>
  <c r="B24" i="31"/>
  <c r="B85" i="31" s="1"/>
  <c r="B25" i="31"/>
  <c r="B86" i="31" s="1"/>
  <c r="B26" i="31"/>
  <c r="B87" i="31" s="1"/>
  <c r="B27" i="31"/>
  <c r="B88" i="31" s="1"/>
  <c r="B16" i="31"/>
  <c r="B77" i="31" l="1"/>
  <c r="M73" i="31"/>
  <c r="M19" i="36"/>
  <c r="N19" i="36"/>
  <c r="J46" i="36"/>
  <c r="J45" i="36"/>
  <c r="N38" i="36"/>
  <c r="M38" i="36"/>
  <c r="N37" i="36"/>
  <c r="L37" i="36"/>
  <c r="L55" i="36" s="1"/>
  <c r="L56" i="36" s="1"/>
  <c r="N36" i="36"/>
  <c r="M36" i="36"/>
  <c r="L36" i="36"/>
  <c r="N35" i="36"/>
  <c r="L35" i="36"/>
  <c r="L59" i="36" l="1"/>
  <c r="N59" i="36"/>
  <c r="P55" i="36"/>
  <c r="P56" i="36" s="1"/>
  <c r="J28" i="36"/>
  <c r="J29" i="36"/>
  <c r="J31" i="36"/>
  <c r="J30" i="36"/>
  <c r="J62" i="36"/>
  <c r="N54" i="36"/>
  <c r="N55" i="36"/>
  <c r="N56" i="36" s="1"/>
  <c r="M35" i="36"/>
  <c r="M59" i="36" s="1"/>
  <c r="M37" i="36"/>
  <c r="L38" i="36"/>
  <c r="L54" i="36" s="1"/>
  <c r="P60" i="36" l="1"/>
  <c r="P54" i="36"/>
  <c r="J36" i="36"/>
  <c r="J38" i="36"/>
  <c r="J37" i="36"/>
  <c r="O64" i="36"/>
  <c r="O73" i="36" s="1"/>
  <c r="J35" i="36"/>
  <c r="M61" i="36"/>
  <c r="M63" i="36" s="1"/>
  <c r="N61" i="36"/>
  <c r="N63" i="36" s="1"/>
  <c r="N60" i="36"/>
  <c r="O55" i="36"/>
  <c r="O56" i="36" s="1"/>
  <c r="M54" i="36"/>
  <c r="M55" i="36"/>
  <c r="M56" i="36" s="1"/>
  <c r="P61" i="36" l="1"/>
  <c r="P63" i="36" s="1"/>
  <c r="M60" i="36"/>
  <c r="J55" i="36"/>
  <c r="O61" i="36"/>
  <c r="O70" i="36" s="1"/>
  <c r="J70" i="36" s="1"/>
  <c r="J22" i="24" l="1"/>
  <c r="J21" i="24"/>
  <c r="J15" i="24"/>
  <c r="J14" i="24"/>
  <c r="O39" i="36" l="1"/>
  <c r="J32" i="36"/>
  <c r="H35" i="18"/>
  <c r="H14" i="34" s="1"/>
  <c r="M43" i="34" s="1"/>
  <c r="J43" i="34" s="1"/>
  <c r="H34" i="18"/>
  <c r="H13" i="34" s="1"/>
  <c r="L40" i="34" s="1"/>
  <c r="H24" i="18"/>
  <c r="H27" i="18" s="1"/>
  <c r="H17" i="36" s="1"/>
  <c r="J40" i="34" l="1"/>
  <c r="L21" i="37"/>
  <c r="M37" i="34"/>
  <c r="M37" i="31" s="1"/>
  <c r="L37" i="34"/>
  <c r="N37" i="34"/>
  <c r="O37" i="34"/>
  <c r="O25" i="38" s="1"/>
  <c r="P37" i="34"/>
  <c r="P25" i="38" s="1"/>
  <c r="L35" i="34"/>
  <c r="L38" i="34"/>
  <c r="O44" i="34"/>
  <c r="O20" i="38" s="1"/>
  <c r="O41" i="38" s="1"/>
  <c r="P38" i="34"/>
  <c r="P26" i="38" s="1"/>
  <c r="M44" i="34"/>
  <c r="O38" i="34"/>
  <c r="O26" i="38" s="1"/>
  <c r="M38" i="34"/>
  <c r="M38" i="31" s="1"/>
  <c r="N38" i="34"/>
  <c r="N39" i="34"/>
  <c r="P36" i="34"/>
  <c r="P24" i="38" s="1"/>
  <c r="M36" i="34"/>
  <c r="M36" i="31" s="1"/>
  <c r="L36" i="34"/>
  <c r="N36" i="34"/>
  <c r="N18" i="40" s="1"/>
  <c r="M41" i="31"/>
  <c r="M64" i="31" s="1"/>
  <c r="O36" i="34"/>
  <c r="O24" i="38" s="1"/>
  <c r="N69" i="36"/>
  <c r="N71" i="36"/>
  <c r="E58" i="44" s="1"/>
  <c r="P71" i="36"/>
  <c r="O72" i="36"/>
  <c r="M69" i="36"/>
  <c r="M71" i="36"/>
  <c r="P69" i="36"/>
  <c r="P76" i="36" s="1"/>
  <c r="J39" i="36"/>
  <c r="O54" i="36"/>
  <c r="O69" i="36" s="1"/>
  <c r="N20" i="40" l="1"/>
  <c r="E52" i="44"/>
  <c r="N19" i="40"/>
  <c r="E51" i="44"/>
  <c r="J44" i="34"/>
  <c r="P23" i="38"/>
  <c r="P63" i="38" s="1"/>
  <c r="P64" i="38" s="1"/>
  <c r="N21" i="40"/>
  <c r="J39" i="34"/>
  <c r="L20" i="37"/>
  <c r="J35" i="34"/>
  <c r="L22" i="37"/>
  <c r="J36" i="34"/>
  <c r="L23" i="37"/>
  <c r="J37" i="34"/>
  <c r="L24" i="37"/>
  <c r="J38" i="34"/>
  <c r="N76" i="36"/>
  <c r="N17" i="40" s="1"/>
  <c r="O76" i="36"/>
  <c r="O23" i="38" s="1"/>
  <c r="O49" i="38" s="1"/>
  <c r="O50" i="38" s="1"/>
  <c r="H57" i="21" s="1"/>
  <c r="E16" i="44" s="1"/>
  <c r="M76" i="36"/>
  <c r="J54" i="36"/>
  <c r="L61" i="36"/>
  <c r="L63" i="36" s="1"/>
  <c r="L71" i="36" s="1"/>
  <c r="L60" i="36"/>
  <c r="J59" i="36"/>
  <c r="B16" i="10"/>
  <c r="B23" i="10" s="1"/>
  <c r="M35" i="31" l="1"/>
  <c r="M72" i="31" s="1"/>
  <c r="F78" i="43" s="1"/>
  <c r="F76" i="43"/>
  <c r="L76" i="36"/>
  <c r="N31" i="40"/>
  <c r="M74" i="31"/>
  <c r="J60" i="36"/>
  <c r="J61" i="36"/>
  <c r="B17" i="10"/>
  <c r="N39" i="40" l="1"/>
  <c r="E60" i="44"/>
  <c r="M93" i="31"/>
  <c r="H38" i="21" s="1"/>
  <c r="E35" i="43" s="1"/>
  <c r="E17" i="43"/>
  <c r="L19" i="37"/>
  <c r="L29" i="37" s="1"/>
  <c r="E76" i="43"/>
  <c r="M81" i="31"/>
  <c r="H26" i="21" s="1"/>
  <c r="E23" i="43" s="1"/>
  <c r="M88" i="31"/>
  <c r="H33" i="21" s="1"/>
  <c r="E30" i="43" s="1"/>
  <c r="M85" i="31"/>
  <c r="H30" i="21" s="1"/>
  <c r="E27" i="43" s="1"/>
  <c r="M84" i="31"/>
  <c r="H29" i="21" s="1"/>
  <c r="E26" i="43" s="1"/>
  <c r="M80" i="31"/>
  <c r="H25" i="21" s="1"/>
  <c r="E22" i="43" s="1"/>
  <c r="M90" i="31"/>
  <c r="H35" i="21" s="1"/>
  <c r="E32" i="43" s="1"/>
  <c r="M89" i="31"/>
  <c r="H34" i="21" s="1"/>
  <c r="E31" i="43" s="1"/>
  <c r="M86" i="31"/>
  <c r="H31" i="21" s="1"/>
  <c r="E28" i="43" s="1"/>
  <c r="M83" i="31"/>
  <c r="H28" i="21" s="1"/>
  <c r="E25" i="43" s="1"/>
  <c r="M78" i="31"/>
  <c r="H23" i="21" s="1"/>
  <c r="E20" i="43" s="1"/>
  <c r="M82" i="31"/>
  <c r="H27" i="21" s="1"/>
  <c r="E24" i="43" s="1"/>
  <c r="M87" i="31"/>
  <c r="H32" i="21" s="1"/>
  <c r="E29" i="43" s="1"/>
  <c r="M91" i="31"/>
  <c r="H36" i="21" s="1"/>
  <c r="E33" i="43" s="1"/>
  <c r="M92" i="31"/>
  <c r="H37" i="21" s="1"/>
  <c r="E34" i="43" s="1"/>
  <c r="M77" i="31"/>
  <c r="H22" i="21" s="1"/>
  <c r="E19" i="43" s="1"/>
  <c r="M79" i="31"/>
  <c r="H24" i="21" s="1"/>
  <c r="E21" i="43" s="1"/>
  <c r="J76" i="36"/>
  <c r="J69" i="36"/>
  <c r="B18" i="10"/>
  <c r="B22" i="10" s="1"/>
  <c r="L32" i="37" l="1"/>
  <c r="H14" i="21" s="1"/>
  <c r="E9" i="43" s="1"/>
  <c r="E78" i="43"/>
  <c r="N25" i="40"/>
  <c r="N34" i="40" s="1"/>
  <c r="L34" i="37" l="1"/>
  <c r="H16" i="21" s="1"/>
  <c r="L49" i="31" l="1"/>
  <c r="M62" i="31" s="1"/>
  <c r="M67" i="31" s="1"/>
  <c r="H19" i="21" s="1"/>
  <c r="E14" i="43" s="1"/>
  <c r="N24" i="40" l="1"/>
  <c r="N35" i="40" s="1"/>
  <c r="N40" i="40" l="1"/>
  <c r="N16" i="38" s="1"/>
  <c r="N40" i="38" s="1"/>
  <c r="O44" i="38" s="1"/>
  <c r="H54" i="21" s="1"/>
  <c r="E14" i="44" s="1"/>
  <c r="N36" i="40"/>
  <c r="E61" i="44" s="1"/>
  <c r="H51" i="21" l="1"/>
  <c r="E9" i="44" s="1"/>
  <c r="N62" i="38"/>
  <c r="P65" i="38" s="1"/>
  <c r="H67" i="21" s="1"/>
  <c r="E24" i="4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Auteur</author>
  </authors>
  <commentList>
    <comment ref="B22" authorId="0" shapeId="0" xr:uid="{00000000-0006-0000-0400-000001000000}">
      <text>
        <r>
          <rPr>
            <sz val="8"/>
            <color indexed="81"/>
            <rFont val="Tahoma"/>
            <family val="2"/>
          </rPr>
          <t>At all times a (group of) pink cell(s) needs an explanantion on its special nature. This explanation will be added through this remark box.</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Auteur</author>
  </authors>
  <commentList>
    <comment ref="O54" authorId="0" shapeId="0" xr:uid="{F4C00F2E-D804-4583-B2F1-6DDAD1C577D7}">
      <text>
        <r>
          <rPr>
            <sz val="8"/>
            <color indexed="81"/>
            <rFont val="Tahoma"/>
            <family val="2"/>
          </rPr>
          <t>Income related to new connections is deducted from fixed operational costs</t>
        </r>
      </text>
    </comment>
    <comment ref="O76" authorId="0" shapeId="0" xr:uid="{3C474922-ABBA-4CEF-807D-FF7FD1273BF1}">
      <text>
        <r>
          <rPr>
            <sz val="8"/>
            <color indexed="81"/>
            <rFont val="Tahoma"/>
            <family val="2"/>
          </rPr>
          <t>Including estimate extra capital costs for new water connections compared to the number of connections in 2020.</t>
        </r>
      </text>
    </comment>
  </commentList>
</comments>
</file>

<file path=xl/sharedStrings.xml><?xml version="1.0" encoding="utf-8"?>
<sst xmlns="http://schemas.openxmlformats.org/spreadsheetml/2006/main" count="1659" uniqueCount="738">
  <si>
    <t>Disclaimer</t>
  </si>
  <si>
    <t>Data</t>
  </si>
  <si>
    <t>Input --&gt;</t>
  </si>
  <si>
    <t>About this file</t>
  </si>
  <si>
    <t>Case number</t>
  </si>
  <si>
    <t>File title</t>
  </si>
  <si>
    <t>Subtitle</t>
  </si>
  <si>
    <t>Other remarks</t>
  </si>
  <si>
    <t>About the status of this file</t>
  </si>
  <si>
    <t>Final version? (y/n)</t>
  </si>
  <si>
    <t>Is this file legally part of the decision(s) listed above? (y/n)</t>
  </si>
  <si>
    <t>Cell colors (for numbers)</t>
  </si>
  <si>
    <t>Description</t>
  </si>
  <si>
    <t>Data and input (source required)</t>
  </si>
  <si>
    <t>Calculated value</t>
  </si>
  <si>
    <t>Empty cell (not zero) used in a formula range</t>
  </si>
  <si>
    <t>Value or calculation that needs special attention or explanation</t>
  </si>
  <si>
    <t>Sheet tab colors</t>
  </si>
  <si>
    <t>Sheet with result/output</t>
  </si>
  <si>
    <t>Sheet with input</t>
  </si>
  <si>
    <t>Sheet with calculations</t>
  </si>
  <si>
    <t>Model sheets</t>
  </si>
  <si>
    <t>Result</t>
  </si>
  <si>
    <t>Calculation</t>
  </si>
  <si>
    <t>Explanatory sheets</t>
  </si>
  <si>
    <t>Explanation</t>
  </si>
  <si>
    <t>Special attention:</t>
  </si>
  <si>
    <t>Source overview and specific applications</t>
  </si>
  <si>
    <t>Source overview</t>
  </si>
  <si>
    <t>Each input sheet contains a column 'Source', in which the sources are referred to by their shortened name. These sources are further explained in the table below.</t>
  </si>
  <si>
    <t>No.</t>
  </si>
  <si>
    <t>Shortened name</t>
  </si>
  <si>
    <t>External file name</t>
  </si>
  <si>
    <t>As referred to in Source column</t>
  </si>
  <si>
    <t>Exact file name</t>
  </si>
  <si>
    <t>Date received, email, URL, file location</t>
  </si>
  <si>
    <t>Unit</t>
  </si>
  <si>
    <t>Constant</t>
  </si>
  <si>
    <t>Row total</t>
  </si>
  <si>
    <t>Remarks</t>
  </si>
  <si>
    <t>Source</t>
  </si>
  <si>
    <t>Collecting input data</t>
  </si>
  <si>
    <t>Cover sheet</t>
  </si>
  <si>
    <t>Belongs to decision(s):</t>
  </si>
  <si>
    <t>Reference number of decision(s)</t>
  </si>
  <si>
    <t>If applicable</t>
  </si>
  <si>
    <t>Objections and appeals can be filed against the decision to which this file belongs.</t>
  </si>
  <si>
    <t xml:space="preserve">If there are any substantive differences between the calculation in this file and the calculation that follows from the relevant decision, the decision's calculation is authentic. </t>
  </si>
  <si>
    <t>Explanatory notes to this file</t>
  </si>
  <si>
    <t xml:space="preserve">Explanation about how this file works </t>
  </si>
  <si>
    <t>Legend for the cell and sheet colors</t>
  </si>
  <si>
    <t>Value that is taken from another sheet or cell without calculation</t>
  </si>
  <si>
    <t>Result/calculated value that is used in another sheet</t>
  </si>
  <si>
    <t>Input or calculation that is not yet up-to-date or work in progress</t>
  </si>
  <si>
    <t>Sheet that is not yet up-to-date/work in progress</t>
  </si>
  <si>
    <t xml:space="preserve">Empty sheet used for indexing </t>
  </si>
  <si>
    <t>Additional information about this source</t>
  </si>
  <si>
    <t xml:space="preserve">If ACM does use cell or range references, macros, or other more complex functions in Excel, these will be explained on this sheet. </t>
  </si>
  <si>
    <t>Relationship to other calculation files</t>
  </si>
  <si>
    <t>in the overview below, ACM lists the sources that are used for data and calculations in this file.</t>
  </si>
  <si>
    <t>Explanation of the use of specific Excel-applications and other details</t>
  </si>
  <si>
    <t xml:space="preserve">In its calculation files, ACM seeks to use simple and easy-to-follow calculations as much as possible, and seeks to avoid the use of complex formulas or specific applications. </t>
  </si>
  <si>
    <t>When final, will this file be published?</t>
  </si>
  <si>
    <t>When published, doe this file contain business-confidential information? (y/n)</t>
  </si>
  <si>
    <t>This calculation is developed in the standardized format used by the Energy Department of ACM (based on version 5, june 2021)</t>
  </si>
  <si>
    <t>[ END OF SHEET ]</t>
  </si>
  <si>
    <t>ACM case number and/or reference</t>
  </si>
  <si>
    <t>Parameters</t>
  </si>
  <si>
    <t>Description data</t>
  </si>
  <si>
    <t>Explanatory notes</t>
  </si>
  <si>
    <t xml:space="preserve">The development of the CPI of Q3 year T and Q3 year T-1 will be used as the estimated inflation for the year T+1. The estimated inflation is rounded to one decimal. </t>
  </si>
  <si>
    <t>As of the development of the CPI between Q3 2017 and Q3 2018, the 2017 = 100 serie is used. Before this, the 2010 = 100 serie has been used.</t>
  </si>
  <si>
    <t xml:space="preserve">Electricity production </t>
  </si>
  <si>
    <t>Electricity distribution</t>
  </si>
  <si>
    <t>Water production</t>
  </si>
  <si>
    <t>Water distribution</t>
  </si>
  <si>
    <t>Water truck delivery</t>
  </si>
  <si>
    <t xml:space="preserve">CPI </t>
  </si>
  <si>
    <t>Parameters CPI calculation - COVID-subsidies 2020</t>
  </si>
  <si>
    <t>Original CPI 2020 Q3</t>
  </si>
  <si>
    <t>CPI CBS (2017 = 100)</t>
  </si>
  <si>
    <t>Original CPI 2021 Q3</t>
  </si>
  <si>
    <t>Original CPI 2022 Q3</t>
  </si>
  <si>
    <t>Alternative CPI ('afgeleid') 2020 Q3</t>
  </si>
  <si>
    <t>CBS data on CPI for 2020, corrected for COVID-19 impact</t>
  </si>
  <si>
    <t>Alternative CPI (constructed) 2021 Q3</t>
  </si>
  <si>
    <t>Estimated inflation parameters</t>
  </si>
  <si>
    <t>Estimated inflation 2023</t>
  </si>
  <si>
    <t>%</t>
  </si>
  <si>
    <t>Covid subsidies stopped in January 2022; the estimation of the inflation for 2023 is no longer influenced by subsidies.</t>
  </si>
  <si>
    <t>Estimated inflation 2024</t>
  </si>
  <si>
    <t xml:space="preserve">WACC </t>
  </si>
  <si>
    <t>ACM WACC decision 2023-2025</t>
  </si>
  <si>
    <t>Legal interest rate (to be used for the time-value of tariff corrections)</t>
  </si>
  <si>
    <t>Wettelijke rente CNL ('legal fixed interest rate')</t>
  </si>
  <si>
    <t>Wettelijke rente CNL</t>
  </si>
  <si>
    <t>Compounded legal fixed interest rate over 2022 - 2024</t>
  </si>
  <si>
    <t>Compounded legal fixed interest rate over 2023 - 2024</t>
  </si>
  <si>
    <t>Variable part of OPEX</t>
  </si>
  <si>
    <t>Based on analysis by ACM on fixed/variable costs in the Caribbean Netherlands and as used in the 2023 decisions.</t>
  </si>
  <si>
    <t>Variable part of capital costs</t>
  </si>
  <si>
    <t>Based on assumption by ACM on fixed/variable costs in the Caribbean Netherlands and as used in the 2023 decisions.</t>
  </si>
  <si>
    <t xml:space="preserve">Description data </t>
  </si>
  <si>
    <t xml:space="preserve">Description </t>
  </si>
  <si>
    <t xml:space="preserve">Unit </t>
  </si>
  <si>
    <t xml:space="preserve">Constant </t>
  </si>
  <si>
    <t xml:space="preserve">Row total </t>
  </si>
  <si>
    <t>Input from the OPEX-model</t>
  </si>
  <si>
    <t>USD, pl 2022</t>
  </si>
  <si>
    <t>OPEX-model, sheet "Output"; row 11</t>
  </si>
  <si>
    <t>Other income 2022</t>
  </si>
  <si>
    <t>OPEX-model, sheet "Output"; row 12</t>
  </si>
  <si>
    <t>Input from the RAB-model</t>
  </si>
  <si>
    <t>RAB-value ultimo 2022</t>
  </si>
  <si>
    <t>USD</t>
  </si>
  <si>
    <t>RAB-model, sheet "Output"; row 47</t>
  </si>
  <si>
    <t>RAB-value does not relate to any price level due to the use of a nominal WACC.</t>
  </si>
  <si>
    <t>Depreciation 2022</t>
  </si>
  <si>
    <t>RAB-model, sheet "Output"; row 48</t>
  </si>
  <si>
    <t>Depreciation does not relate to any price level due to the use of a nominal WACC.</t>
  </si>
  <si>
    <t>Addition in RAB due to new water connections 2024</t>
  </si>
  <si>
    <t>ACM analysis RAB and depreciation calculation</t>
  </si>
  <si>
    <t>Addition in depreciation due to new water connections 2024</t>
  </si>
  <si>
    <t>Realized volumes</t>
  </si>
  <si>
    <t>(see column)</t>
  </si>
  <si>
    <t>kWh</t>
  </si>
  <si>
    <t>kVA</t>
  </si>
  <si>
    <t>m3</t>
  </si>
  <si>
    <t>connections</t>
  </si>
  <si>
    <t>Realized volume 2022</t>
  </si>
  <si>
    <t>Electricity production 2022; Electricity connections 2022; Water production 2022; Water connections 2022; Distributed water 2022</t>
  </si>
  <si>
    <t>Estimated production data electricity</t>
  </si>
  <si>
    <t>Estimated production by solar in 2024</t>
  </si>
  <si>
    <t xml:space="preserve">kWh </t>
  </si>
  <si>
    <t>Estimated electricity production 2024</t>
  </si>
  <si>
    <t>Estimated production by fuel in 2024</t>
  </si>
  <si>
    <t>Estimated total production in 2024</t>
  </si>
  <si>
    <t>Estimated total production first half 2024</t>
  </si>
  <si>
    <t>Estimated share of production with fuel in 2024</t>
  </si>
  <si>
    <t>liters</t>
  </si>
  <si>
    <t>Fuel model, sheet "Data production"; sum of cells L15:W15</t>
  </si>
  <si>
    <t>Fuel model, sheet "Data production"; sum of cells L16:W16</t>
  </si>
  <si>
    <t>liters/kWh</t>
  </si>
  <si>
    <t>Most recent fuel price</t>
  </si>
  <si>
    <t>USD/liter</t>
  </si>
  <si>
    <t>Estimated production data water</t>
  </si>
  <si>
    <t>Estimated production volume 2024</t>
  </si>
  <si>
    <t>Estimated water production 2024</t>
  </si>
  <si>
    <t>Production yield based on electricity</t>
  </si>
  <si>
    <t>kWh/m3</t>
  </si>
  <si>
    <t>Estimated distribution data</t>
  </si>
  <si>
    <t>Estimated network losses 2024 in %</t>
  </si>
  <si>
    <t>Net losses electricity 2024; Net losses water 2024</t>
  </si>
  <si>
    <t>Tariff for new connection in 2023</t>
  </si>
  <si>
    <t>Tariff for new water connection in 2023</t>
  </si>
  <si>
    <t>USD, pl 2023</t>
  </si>
  <si>
    <t>Tariff for road crossing, per meter</t>
  </si>
  <si>
    <t>Tariff new electricity connection 3,2 and 7,7 kVA (incl. up to 25 meters)</t>
  </si>
  <si>
    <t>Tariff for road crossing for 3,2 kVA connection, per meter</t>
  </si>
  <si>
    <t>Tariff for road crossing for 7,7 kVA connection, per meter</t>
  </si>
  <si>
    <t>Reconnection fee</t>
  </si>
  <si>
    <t>Income associated with new water connections</t>
  </si>
  <si>
    <t>Number of new connections in 2022</t>
  </si>
  <si>
    <t>#</t>
  </si>
  <si>
    <t>New water connnections 2022</t>
  </si>
  <si>
    <t>Tariff for new connections in 2022</t>
  </si>
  <si>
    <t>Rekenmodel STUCO 2022, sheet "Tariffs drinking water"; row 69</t>
  </si>
  <si>
    <t>Excluding mark-up for road crossings.</t>
  </si>
  <si>
    <t xml:space="preserve">Income associated with new connections </t>
  </si>
  <si>
    <t>This calculation is added, since the income from new drinking water connections is lower than the associated costs, due to a specific tariff arrangement.</t>
  </si>
  <si>
    <t>Distributed water 2024</t>
  </si>
  <si>
    <t>Tariff categories and volumes 2024</t>
  </si>
  <si>
    <t>For electricity, the tariff category is determined by the kVA of the connection.</t>
  </si>
  <si>
    <t>Number of connections per kVA</t>
  </si>
  <si>
    <t># connections</t>
  </si>
  <si>
    <t>Total estimated volume</t>
  </si>
  <si>
    <t>Number of connections for water</t>
  </si>
  <si>
    <t>Expected number of connections in 2024</t>
  </si>
  <si>
    <t>Water connections 2024</t>
  </si>
  <si>
    <t>Standardized sheets with general information about this file</t>
  </si>
  <si>
    <t>CPI CBS</t>
  </si>
  <si>
    <t>https://opendata.cbs.nl/statline/#/CBS/nl/dataset/84046NED/table</t>
  </si>
  <si>
    <t>https://www.cbs.nl/nl-nl/maatwerk/2021/45/cpi-caribisch-nederland-exclusief-covid-19-toeslagen</t>
  </si>
  <si>
    <t>https://wetten.overheid.nl/BWBR0030649/2011-11-18</t>
  </si>
  <si>
    <t>Besluit WACC Caribisch Nederland 2023-2025</t>
  </si>
  <si>
    <t>https://www.acm.nl/nl/publicaties/wacc-elektriciteit-en-drinkwater-caribisch-nederland-2023-2025</t>
  </si>
  <si>
    <t>OPEX-model</t>
  </si>
  <si>
    <t>RAB-model</t>
  </si>
  <si>
    <t>Electricity production 2022</t>
  </si>
  <si>
    <t>Electricity connections 2022</t>
  </si>
  <si>
    <t>Water production 2022</t>
  </si>
  <si>
    <t>16. STUCO Overview production Water in M3 in 2021 (4. B3 PRODUCTION STUCO production of Water in M3 for 2021)</t>
  </si>
  <si>
    <t>Water connections 2022</t>
  </si>
  <si>
    <t>13. STUCO Drinking Water Connections for 2021</t>
  </si>
  <si>
    <t>Distributed water 2022</t>
  </si>
  <si>
    <t>17. STUCO distributed Water M3 per category for 2021</t>
  </si>
  <si>
    <t>Fuel model</t>
  </si>
  <si>
    <t>Net losses electricity 2024</t>
  </si>
  <si>
    <t>Net losses water 2024</t>
  </si>
  <si>
    <t>Beschikking productieprijs elektriciteit 2023 Sint Eustatius STUCO | ACM.nl</t>
  </si>
  <si>
    <t>https://www.acm.nl/nl/publicaties/beschikking-productieprijs-elektriciteit-2022-sint-eustatius-stuco-caribisch-nederland</t>
  </si>
  <si>
    <t>Revised tariff model 2023</t>
  </si>
  <si>
    <t>STUCO tariff model 2023 foutberekening</t>
  </si>
  <si>
    <t>This sheet seperates different types of sheets and is intentionally left blank</t>
  </si>
  <si>
    <t>Data on corrections</t>
  </si>
  <si>
    <t>USD, pl 2024</t>
  </si>
  <si>
    <t>Profit sharing: network losses 2022</t>
  </si>
  <si>
    <t>Energy cost correction 2023</t>
  </si>
  <si>
    <t>Corrections as calculated in fuel model</t>
  </si>
  <si>
    <t>Fuel cost correction</t>
  </si>
  <si>
    <t>Fuel model, sheet "Fuel cost correction", row 21</t>
  </si>
  <si>
    <t>Fuel model, sheet "Fuel component correction", row 27</t>
  </si>
  <si>
    <t>Corrections as calculated in revised tariff model 2023</t>
  </si>
  <si>
    <t>Correction income level 2023 before corrections due to error</t>
  </si>
  <si>
    <t>Revised tariff model 2023, sheet "Calculation income level", row 51</t>
  </si>
  <si>
    <t>Applicable period</t>
  </si>
  <si>
    <t>Production price</t>
  </si>
  <si>
    <t>Production price excl fuel</t>
  </si>
  <si>
    <t>USD/kWh, pl 2024</t>
  </si>
  <si>
    <t xml:space="preserve">Production price incl fuel </t>
  </si>
  <si>
    <t>Variable distribution tariff</t>
  </si>
  <si>
    <t>January - June 2024</t>
  </si>
  <si>
    <t>2024 whole year</t>
  </si>
  <si>
    <t>Fixed distribution tariff per kVA category</t>
  </si>
  <si>
    <t>USD/month, pl 2024</t>
  </si>
  <si>
    <t>3,2</t>
  </si>
  <si>
    <t>7,7</t>
  </si>
  <si>
    <t>13,3</t>
  </si>
  <si>
    <t>30,4</t>
  </si>
  <si>
    <t>38,0</t>
  </si>
  <si>
    <t>11,0</t>
  </si>
  <si>
    <t>19,0</t>
  </si>
  <si>
    <t>47,5</t>
  </si>
  <si>
    <t>13,9</t>
  </si>
  <si>
    <t>23,9</t>
  </si>
  <si>
    <t>60,8</t>
  </si>
  <si>
    <t>85,5</t>
  </si>
  <si>
    <t>119,7</t>
  </si>
  <si>
    <t>Tariff for reconnection</t>
  </si>
  <si>
    <t>Tariff for connection</t>
  </si>
  <si>
    <t>Connection 3,2 and 7,7 kVA (incl. up to 25 meters)</t>
  </si>
  <si>
    <t>The reconnection fee is set fixed at USD 40.</t>
  </si>
  <si>
    <t>175,0</t>
  </si>
  <si>
    <t>95,0</t>
  </si>
  <si>
    <t>76,0</t>
  </si>
  <si>
    <t>Production price per m3 (incl electricity costs)</t>
  </si>
  <si>
    <t>USD/m3, pl 2024</t>
  </si>
  <si>
    <t>Variable distribution tariff water 2024</t>
  </si>
  <si>
    <t>Fixed distribution tariff</t>
  </si>
  <si>
    <t>Tariff for reconnection 2024</t>
  </si>
  <si>
    <t>New connection tariff 2024</t>
  </si>
  <si>
    <t>Standard connection (incl. up to 25 meters)</t>
  </si>
  <si>
    <t>Tariff for road crossing for standard connection, per meter</t>
  </si>
  <si>
    <t>Distribution by truck</t>
  </si>
  <si>
    <t>Price distribution by truck</t>
  </si>
  <si>
    <t>Overview tariffs electricity 2024</t>
  </si>
  <si>
    <t>Overview tariffs drinking water 2024</t>
  </si>
  <si>
    <t>Electricity production</t>
  </si>
  <si>
    <t>Relevant data</t>
  </si>
  <si>
    <t>Expected percentage of water by truck 2023</t>
  </si>
  <si>
    <t>Income related to new connections</t>
  </si>
  <si>
    <t>Volume</t>
  </si>
  <si>
    <t>Calculation fixed-variable costs</t>
  </si>
  <si>
    <t>Fixed/variable operational costs</t>
  </si>
  <si>
    <t>For water distribution, income related to new connections is deducted from the fixed operational costs.</t>
  </si>
  <si>
    <t>Fixed/variable capital costs</t>
  </si>
  <si>
    <t>Capital cost (RAB*WACC+ depreciation)</t>
  </si>
  <si>
    <t>Extra estimated variable capital costs due to network growth</t>
  </si>
  <si>
    <t>USD / #</t>
  </si>
  <si>
    <t>Extra estimated variable capital costs per unit for network growth</t>
  </si>
  <si>
    <t>Depreciation in 2022</t>
  </si>
  <si>
    <t>Operational costs 2022 (excl. fuel and other income)</t>
  </si>
  <si>
    <t>Other income 2022 (excl. income new connections for water distribution)</t>
  </si>
  <si>
    <t>Operational costs 2022 (excl. fuel)</t>
  </si>
  <si>
    <t>Variable part of operational costs 2022</t>
  </si>
  <si>
    <t>Variable part of capital costs 2022</t>
  </si>
  <si>
    <t>Addition in RAB due to growth in water connections 2024</t>
  </si>
  <si>
    <t>Addition in depreciation due to growth in water connections 2024</t>
  </si>
  <si>
    <t>Realised volume 2022</t>
  </si>
  <si>
    <t>USD, pl 2022 / #</t>
  </si>
  <si>
    <t>Estimated fixed capital costs 2024</t>
  </si>
  <si>
    <t>Estimated variable capital costs 2024 (excl. addition new water connections)</t>
  </si>
  <si>
    <t>These extra variable costs apply to network growth for accommodating new water connections above the number of connections in 2022.</t>
  </si>
  <si>
    <t>Estimated variable capital costs 2022 per unit (excl. addition for network growth)</t>
  </si>
  <si>
    <t>Total estimated fixed costs 2024</t>
  </si>
  <si>
    <t>Total estimated regular variable capital costs 2024 (excl. addition new water connections)</t>
  </si>
  <si>
    <t>Total estimated regular variable capital costs includes all regular variable capital costs up to the realised volume of 2022.</t>
  </si>
  <si>
    <t>Total estimated variable costs 2024 per unit (excl. addition for network growth)</t>
  </si>
  <si>
    <t>USD, pl 2024 / #</t>
  </si>
  <si>
    <t>Estimated variable operational costs 2024 per unit (excl. addition for network growth)</t>
  </si>
  <si>
    <t>Extra estimated variable costs 2024 for network growth per new water connection</t>
  </si>
  <si>
    <t>These extra variable costs apply to network growth for accomodating new water connections above the number of connections in 2022.</t>
  </si>
  <si>
    <t>Fuel component correction May-October 2023</t>
  </si>
  <si>
    <t>Income level 2024 before corrections</t>
  </si>
  <si>
    <t>The income level before corrections is equal to the expected costs in 2024 including a reasonable return (WACC).</t>
  </si>
  <si>
    <t>Input</t>
  </si>
  <si>
    <t>Income level</t>
  </si>
  <si>
    <t>Estimated fuel efficiency 2024</t>
  </si>
  <si>
    <t>Estimated share production with fuel 2024</t>
  </si>
  <si>
    <t>Estimated total production 2024</t>
  </si>
  <si>
    <t>Fuel component</t>
  </si>
  <si>
    <t>Fuel data</t>
  </si>
  <si>
    <t>Expected number of connections per kVA</t>
  </si>
  <si>
    <t>Fuel Component Correction</t>
  </si>
  <si>
    <t>Fuel component correction will be applied to the variable usage tariff in the first half of 2024.</t>
  </si>
  <si>
    <t>WACC 2024</t>
  </si>
  <si>
    <t>Network losses</t>
  </si>
  <si>
    <t>Calculation Variable Distribution Tariff</t>
  </si>
  <si>
    <t xml:space="preserve">Production price including fuel </t>
  </si>
  <si>
    <t>Tariff calculation</t>
  </si>
  <si>
    <t>Calculating variables for the tariff</t>
  </si>
  <si>
    <t xml:space="preserve">Variable distribution tariff </t>
  </si>
  <si>
    <t>Calculation Fixed Distribution Tariff</t>
  </si>
  <si>
    <t>Income level per kVA per month</t>
  </si>
  <si>
    <t>USD/kVA/month</t>
  </si>
  <si>
    <t>Calculation Connection tariff</t>
  </si>
  <si>
    <t>Tariffs for connection 2023</t>
  </si>
  <si>
    <t>Tariffs for connection 2024</t>
  </si>
  <si>
    <t>Production data</t>
  </si>
  <si>
    <t>Estimated volume</t>
  </si>
  <si>
    <t>Tariffs electricity</t>
  </si>
  <si>
    <t>Variable distribution tariff electricity 2024</t>
  </si>
  <si>
    <t>Fixed electricity costs for water production facility</t>
  </si>
  <si>
    <t>Calculating energy cost</t>
  </si>
  <si>
    <t>Calculating production price</t>
  </si>
  <si>
    <t>Production price per m3 (excl electricity costs)</t>
  </si>
  <si>
    <t>Estimated network losses 2024</t>
  </si>
  <si>
    <t>Expected volume</t>
  </si>
  <si>
    <t>Calculation variable distribution tariff</t>
  </si>
  <si>
    <t>Calculation Production price</t>
  </si>
  <si>
    <t>Calculation fixed tariffs</t>
  </si>
  <si>
    <t>Fixed distribution tariff water 2024</t>
  </si>
  <si>
    <t>Price water by truck 2024</t>
  </si>
  <si>
    <t>Input for calculation new connection tariff</t>
  </si>
  <si>
    <t>Standard connection (incl. up to 25 meters) - tariff 2023</t>
  </si>
  <si>
    <t>Tariff for road crossing for standard connection, per meter - tariff 2023</t>
  </si>
  <si>
    <t>WACC 2022</t>
  </si>
  <si>
    <t>ACM WACC decision 2020-2022</t>
  </si>
  <si>
    <t>Profit sharing</t>
  </si>
  <si>
    <t>Profit sharing-percentage</t>
  </si>
  <si>
    <t>Total estimated fixed costs 2022</t>
  </si>
  <si>
    <t>Tariff decision 2022-1, sheet "Fixed-variable costs", row 62</t>
  </si>
  <si>
    <t>Total estimated regular variable capital costs 2022 (excl. addition new water connections)</t>
  </si>
  <si>
    <t>Tariff decision 2022-1, sheet "Fixed-variable costs", row 63</t>
  </si>
  <si>
    <t>Total estimated variable costs 2022 per unit (excl. addition for network growth)</t>
  </si>
  <si>
    <t>Tariff decision 2022-1, sheet "Fixed-variable costs", row 64-65</t>
  </si>
  <si>
    <t>Extra estimated variable costs 2022 for network growth per new water connection</t>
  </si>
  <si>
    <t>Tariff decision 2022-1, sheet "Fixed-variable costs", row 66</t>
  </si>
  <si>
    <t>Network losses 2022</t>
  </si>
  <si>
    <t>Realisation of water distributed by line in 2022</t>
  </si>
  <si>
    <t>Percentage water distribution by truck 2022</t>
  </si>
  <si>
    <t>Estimated production and distribution data</t>
  </si>
  <si>
    <t>Lost subsidy income</t>
  </si>
  <si>
    <t>Data on the energy cost correction</t>
  </si>
  <si>
    <t>Data on energy costs</t>
  </si>
  <si>
    <t>Total expected water production 2023</t>
  </si>
  <si>
    <t>Tariff decision 2023-1, sheet "Data on volumes and tariffs", cell N29</t>
  </si>
  <si>
    <t>Variable distribution tariff per 1 January 2023</t>
  </si>
  <si>
    <t>USD, pp 2023/kWh</t>
  </si>
  <si>
    <t>Tariff decision 2023-1, sheet "Tariffs electricity", cell M84</t>
  </si>
  <si>
    <t>Variable distribution tariff per 1 July 2023</t>
  </si>
  <si>
    <t>Tariff decision 2023-2, sheet "Result", cell H40</t>
  </si>
  <si>
    <t>Required amount of electricity for drinking water production 2023</t>
  </si>
  <si>
    <t>Tariff decision 2023-1, sheet "Data on volumes and tariffs", cell N31</t>
  </si>
  <si>
    <t>Expected share of water distribution in second half of the year 2023</t>
  </si>
  <si>
    <t>Expected share of 50% as is assumed in the 2023 decisions</t>
  </si>
  <si>
    <t>Estimated volume 2022</t>
  </si>
  <si>
    <t>Estimated network losses 2022</t>
  </si>
  <si>
    <t>Production price incl fuel (Jan-Jun 2022)</t>
  </si>
  <si>
    <t>USD/kWh, pl 2022</t>
  </si>
  <si>
    <t>Production price incl fuel (Jul-Dec 2022)</t>
  </si>
  <si>
    <t>Production price 2022</t>
  </si>
  <si>
    <t>USD/m3, pl 2022</t>
  </si>
  <si>
    <t>Tariff decision 2022-1, sheet "Data on volumes and tariffs"</t>
  </si>
  <si>
    <t>Tariff decision 2022-1, sheet "Tariffs electricity", cell L74</t>
  </si>
  <si>
    <t>Tariff decision 2022-2, sheet "Result", cell H21</t>
  </si>
  <si>
    <t>Tariff decision 2022-1, sheet "Tariffs drinking water", cell N56</t>
  </si>
  <si>
    <t>Realized volume 2020</t>
  </si>
  <si>
    <t>Calculation volume-effect correction 2022</t>
  </si>
  <si>
    <t xml:space="preserve">Description calculation </t>
  </si>
  <si>
    <t>On this sheet the ACM calculates the correction for the volume effect.</t>
  </si>
  <si>
    <t xml:space="preserve">Relevant data for volume-effect correction </t>
  </si>
  <si>
    <t>Input fixed costs</t>
  </si>
  <si>
    <t>Total estimated fixed costs for 2022</t>
  </si>
  <si>
    <t>Total lost subsidy income as a result of rising volumes in 2022</t>
  </si>
  <si>
    <t>Calculation volume-effect correction</t>
  </si>
  <si>
    <t>Calculation coverage of fixed costs</t>
  </si>
  <si>
    <t>Realized income to cover fixed costs 2022</t>
  </si>
  <si>
    <t>Volume-effect correction 2022</t>
  </si>
  <si>
    <t>Relevant data for profit sharing  correction</t>
  </si>
  <si>
    <t>Estimated costs</t>
  </si>
  <si>
    <t>Estimated fixed costs 2022</t>
  </si>
  <si>
    <t>Estimated variable costs 2022 per unit</t>
  </si>
  <si>
    <t>Realized costs</t>
  </si>
  <si>
    <t>Net operational costs 2022 (incl bad debt, excl fuel)</t>
  </si>
  <si>
    <t>Realized costs (after split water distribution by truck)</t>
  </si>
  <si>
    <t>Estimated costs for 2022</t>
  </si>
  <si>
    <t>Total estimated costs for 2022 adjusted for realized volume</t>
  </si>
  <si>
    <t>Realized costs for 2022</t>
  </si>
  <si>
    <t>Capital cost 2022 (RAB*WACC+ depreciation)</t>
  </si>
  <si>
    <t>Total realized costs for 2022</t>
  </si>
  <si>
    <t>Realized profit (loss) over 2022 for profit sharing</t>
  </si>
  <si>
    <t xml:space="preserve">Negative amount indicates realized costs were higher than estimated. </t>
  </si>
  <si>
    <t>Profit sharing correction 2022</t>
  </si>
  <si>
    <t>Calculation profit sharing correction for regular costs</t>
  </si>
  <si>
    <t>Production price incl fuel Jan-Jun 2022</t>
  </si>
  <si>
    <t>USD, pl 2022/kWh</t>
  </si>
  <si>
    <t>Production price incl fuel Jul-Dec 2022</t>
  </si>
  <si>
    <t>Average production price 2022</t>
  </si>
  <si>
    <t>ACM assumes an even distribution between the first and second half of 2022</t>
  </si>
  <si>
    <t>Realized network losses 2022</t>
  </si>
  <si>
    <t>Input for network losses</t>
  </si>
  <si>
    <t>Estimated costs of network losses 2022</t>
  </si>
  <si>
    <t>Realized costs of network losses 2022</t>
  </si>
  <si>
    <t>Realized profit (loss) over network losses 2022</t>
  </si>
  <si>
    <t>Profit sharing add-on for network losses 2022</t>
  </si>
  <si>
    <t>As a result of profit sharing, the income in 2024 will be increased by 50% of the difference between the realized and estimated costs.</t>
  </si>
  <si>
    <t>Calculation proft sharing correction for network losses</t>
  </si>
  <si>
    <t>Calculation of the energy cost correction for water production</t>
  </si>
  <si>
    <t>The correction for energy costs is based on the difference between the variable distribution tariff, as used in the calculation of the drinking water production price, and the variable distribution tariff that is set for the second half of the year.</t>
  </si>
  <si>
    <t>The difference between both prices results in an under- or overrecovery of electricity costs for the drinking water producer, which the energy cost correction corrects for.</t>
  </si>
  <si>
    <t>The energy cost correction is calculated for 2023, based on the variable distribution tariff as set in the semi-annual tariff decision for electricity distribution.</t>
  </si>
  <si>
    <t>USD, pl 2023/kWh</t>
  </si>
  <si>
    <t>Calculation of the energy cost correction</t>
  </si>
  <si>
    <t>Difference between estimated and adjusted distribution tariff per 1 July 2023</t>
  </si>
  <si>
    <t>Required amount of electricity for drinking water production in second half 2023</t>
  </si>
  <si>
    <t>Corrections in price level 2024</t>
  </si>
  <si>
    <t>Corrections caluclated in other models</t>
  </si>
  <si>
    <t>Corrections calculated in this model</t>
  </si>
  <si>
    <t>Overview corrections</t>
  </si>
  <si>
    <t>Fuel component correction May - October 2023</t>
  </si>
  <si>
    <t>The volume effect for distribution is corrected for the fact that subsidy income does not increase with rising volume</t>
  </si>
  <si>
    <t>Total fixed-variable costs and income level</t>
  </si>
  <si>
    <t>Fixed and variable costs</t>
  </si>
  <si>
    <t>WACC 2024 - Electricity production</t>
  </si>
  <si>
    <t>WACC 2024 - Electricity distribution</t>
  </si>
  <si>
    <t>WACC 2024 - Water production and distribution</t>
  </si>
  <si>
    <t>Calculation profit sharing</t>
  </si>
  <si>
    <t>On this sheet ACM calculates the profit sharing correction for regular costs and for network losses.</t>
  </si>
  <si>
    <t>Income level before corrections</t>
  </si>
  <si>
    <t>Income level after corrections</t>
  </si>
  <si>
    <t>Correction income level 2023 due to error</t>
  </si>
  <si>
    <t>Operational costs 2022 (excl fuel)</t>
  </si>
  <si>
    <t xml:space="preserve">Estimated volume 2024 </t>
  </si>
  <si>
    <t>Total expected kVA connected to the network in 2024</t>
  </si>
  <si>
    <t>Variable electricity costs per m3 water production</t>
  </si>
  <si>
    <t>Fixed electricity costs per m3 water production</t>
  </si>
  <si>
    <t xml:space="preserve">Profit sharing: add-on for network losses </t>
  </si>
  <si>
    <t xml:space="preserve">Profit sharing add-on for network losses </t>
  </si>
  <si>
    <t>Estimated volume 2024</t>
  </si>
  <si>
    <t>ACM/23/181663</t>
  </si>
  <si>
    <t>Berekening tarieven STUCO 2024</t>
  </si>
  <si>
    <t>Beschikking productieprijs elektriciteit 2024 STUCO
Beschikking productieprijs drinkwater 2024 STUCO
Beschikking distributietarieven elektriciteit 2024 STUCO
Beschikking distributietarieven drinkwater 2024 STUCO</t>
  </si>
  <si>
    <t xml:space="preserve">Tariff for reconnection </t>
  </si>
  <si>
    <t>The tariff for reconnection is set fixed at 40 USD</t>
  </si>
  <si>
    <t>ACM assumes other income to be related to fixed costs.</t>
  </si>
  <si>
    <t>Estimated fuel efficiency</t>
  </si>
  <si>
    <t>Allocation key fixed/variable costs</t>
  </si>
  <si>
    <t>Volumes data 2022</t>
  </si>
  <si>
    <t>Tariffs associated with connection activities 2023</t>
  </si>
  <si>
    <t>Historical data</t>
  </si>
  <si>
    <t>Delivery of drinking water by truck 2022</t>
  </si>
  <si>
    <t>Estimated delivery of drinking water by truck 2024</t>
  </si>
  <si>
    <t>Estimated drinking water delivered by truck in 2024</t>
  </si>
  <si>
    <t>Estimated percentage of drinking water delivered by truck in 2024</t>
  </si>
  <si>
    <t>Corrections calculated in other models</t>
  </si>
  <si>
    <t>Realized production volume by fuel in 2022</t>
  </si>
  <si>
    <t>Realized liters of fuel consumed for production in 2022</t>
  </si>
  <si>
    <t>Estimates for 2024</t>
  </si>
  <si>
    <t>Production price including fuel</t>
  </si>
  <si>
    <t>Data for the energy cost correction</t>
  </si>
  <si>
    <t>Data for the capital cost correction</t>
  </si>
  <si>
    <t>Number of connections 2016</t>
  </si>
  <si>
    <t>RAB water distribution 2016</t>
  </si>
  <si>
    <t>Depreciation water distribution 2016</t>
  </si>
  <si>
    <t>Data on 2016</t>
  </si>
  <si>
    <t>Estimated number of connections 2024</t>
  </si>
  <si>
    <t>Calculation capital cost correction</t>
  </si>
  <si>
    <t>Data on 2022</t>
  </si>
  <si>
    <t>Number of connections 2022</t>
  </si>
  <si>
    <t>RAB water distribution 2022</t>
  </si>
  <si>
    <t>Depreciation water distribution 2022</t>
  </si>
  <si>
    <t>RAB per extra connection</t>
  </si>
  <si>
    <t>Annual depreciation extra connection</t>
  </si>
  <si>
    <t>Calculation RAB per extra connection</t>
  </si>
  <si>
    <t xml:space="preserve">Expected increase of RAB 2024, in relation to increase in number of connections. </t>
  </si>
  <si>
    <t>Expected increase of depreciation costs in 2024, in relation to increase in number of connections.</t>
  </si>
  <si>
    <t>Estimated fixed operational costs 2024</t>
  </si>
  <si>
    <t>Estimated variable operational costs 2024</t>
  </si>
  <si>
    <t>Estimated variable operational costs 2024 per unit</t>
  </si>
  <si>
    <t>200</t>
  </si>
  <si>
    <t>Data for Volume-effect and Profit Sharing</t>
  </si>
  <si>
    <t>Estimated fixed/variable costs from tariffs 2022</t>
  </si>
  <si>
    <t>ACM method decision 2020-2025</t>
  </si>
  <si>
    <t>Capital cost correction</t>
  </si>
  <si>
    <t>Corrections to income level</t>
  </si>
  <si>
    <t>Corrections to variable distribution tariff</t>
  </si>
  <si>
    <t>Estimated production yield (based on realized data for 2022)</t>
  </si>
  <si>
    <t>Estimated production yield drinking water</t>
  </si>
  <si>
    <t>Realized water production in 2022</t>
  </si>
  <si>
    <t>Energy consumption for drinking water production</t>
  </si>
  <si>
    <t>Profit-sharing percentage</t>
  </si>
  <si>
    <t>E-mail sent by STUCO on September 6, 2023.</t>
  </si>
  <si>
    <t>Fuel model STUCO 2024</t>
  </si>
  <si>
    <t>E-mail sent by STUCO on September 13, 2023.</t>
  </si>
  <si>
    <t>OPEX Model STUCO 2024</t>
  </si>
  <si>
    <t>RAB model STUCO 2024</t>
  </si>
  <si>
    <t>7. STUCO Electricity connections by KVA in 2022</t>
  </si>
  <si>
    <t>Berekening tarieven STUCO 2023</t>
  </si>
  <si>
    <t>Operational costs (excl fuel) 2022 for Profit Sharing</t>
  </si>
  <si>
    <t xml:space="preserve">Operational costs (excl fuel) 2022 </t>
  </si>
  <si>
    <t>Other income 2022 for Profit Sharing</t>
  </si>
  <si>
    <t>OPEX-model, sheet "Output"; row 18</t>
  </si>
  <si>
    <t>OPEX-model, sheet "Output"; row 19</t>
  </si>
  <si>
    <t>14. STUCO New Drinking Water Connections for 2022</t>
  </si>
  <si>
    <t>Net losses electricity 2022</t>
  </si>
  <si>
    <t>Net losses water 2022</t>
  </si>
  <si>
    <t>12. A detailed (monthly) overview of the net losses of elec WP 8143 (A) Electricity Usage Summary Revenue Analysis 2022 (EY 35 UA)</t>
  </si>
  <si>
    <t>18. A detailed (monthly) overview of the net losses of water WP 8144 (A) Water Summary Revenue Analysis 2022 (EY 39 UA)</t>
  </si>
  <si>
    <t>26c. STUCO estimation of distributed Water M3 per category for 2024</t>
  </si>
  <si>
    <t>25a. STUCO Estimation of Drinking Water Connections for 2024</t>
  </si>
  <si>
    <t>25b. STUCO Estimated Overview production Water in M3 in 2024 (4. B3 PRODUCTION STUCO production of Water in M3 for 2022)</t>
  </si>
  <si>
    <t>24. STUCO Estimation of Net Losses Electricity 2024 (WP 8143 (A) Electricity Usage Summary Revenue Analysis 2022 (EY E1))</t>
  </si>
  <si>
    <t>25e STUCO Estimation of Net Losses of drinking water in 2024 WP 8144 (A) Water Summary Revenue Analysis</t>
  </si>
  <si>
    <t>23. STUCO estimation of production of Electricity in KWh for 2023 distributed by first half and second half 2024</t>
  </si>
  <si>
    <t>Cost data</t>
  </si>
  <si>
    <t>Net losses electricity 2022; Net losses water 2022</t>
  </si>
  <si>
    <t>Electricity for water production 2022</t>
  </si>
  <si>
    <t>19. STUCO Overview of the electricity used for the Production and Distribution of drinking water in 2022</t>
  </si>
  <si>
    <t>The realized volume for electricity distribution and water distribution in 2022 was lower than estimated. Therefore, there can be no lost subsidy income due to unexpected volume growth.</t>
  </si>
  <si>
    <t>USD/gallon</t>
  </si>
  <si>
    <t>US gallon to liter</t>
  </si>
  <si>
    <t>Fuel Invoice Delta Petroleum 20231012</t>
  </si>
  <si>
    <t>Total cost of production by GTI in 2022</t>
  </si>
  <si>
    <t>Cost of emergency electricity production</t>
  </si>
  <si>
    <t>OPEX-model, sheet "Assesment OPEX", row 141</t>
  </si>
  <si>
    <t>Cost of emergency production</t>
  </si>
  <si>
    <t>This document contains the calculation of electricity and drinking water tariffs for 2024. These tariffs are based on cost estimates for STUCO for 2024 and the results of profit sharing for 2022.</t>
  </si>
  <si>
    <t>Profit sharing and cost estimates are both calculated in this file. In previous years, profit sharing was a separate file.</t>
  </si>
  <si>
    <t>ACM bases cost estimates for 2024 on realized costs in 2022, as found in the financial statements of STUCO.</t>
  </si>
  <si>
    <t>10. STUCO Overview of Production of Electricity per month in 2023</t>
  </si>
  <si>
    <t>20. STUCO Electricity connections by KVA in projection 2024</t>
  </si>
  <si>
    <t>Projection kVA 2024</t>
  </si>
  <si>
    <t>Electricity for water production 2022, sum of row 5, 9 and 10</t>
  </si>
  <si>
    <t>Assets in row 5, 9 and 10 are related to water production (Source: e-mail sent by STUCO on September 27 2023)</t>
  </si>
  <si>
    <t>Projection kVA 2024, row O</t>
  </si>
  <si>
    <t>Connections for internal use are added to the total number of connections for their kVA category</t>
  </si>
  <si>
    <t>In previous years, these were two separate sheets.</t>
  </si>
  <si>
    <t>Calculation Fixed/Variable costs and Income level</t>
  </si>
  <si>
    <t>Production price per m3</t>
  </si>
  <si>
    <t>Corrections per m3</t>
  </si>
  <si>
    <t>Last update input CBS: October 18, 2023.</t>
  </si>
  <si>
    <t>This sheet shows the percentages used for the CPI, WACC, legal fixed interest rate and the profit sharing.</t>
  </si>
  <si>
    <t>index</t>
  </si>
  <si>
    <t>On this sheet the ACM imports historical data used to calculate the tariffs for 2024.</t>
  </si>
  <si>
    <t>New water connections 2022</t>
  </si>
  <si>
    <t>On this sheet the ACM imports estimated data for 2024.</t>
  </si>
  <si>
    <t xml:space="preserve">ACM applied the wrong inflation parameters in the calculation of the income level 2023 before corrections. This has resulted in an underestimation of the income level for 2023. ACM adds this missed income to the income level 2024 before correction (see sheet "calculation income level", row 45). </t>
  </si>
  <si>
    <t>On this sheet the ACM imports the necessary data for corrections to the tariffs.</t>
  </si>
  <si>
    <t>This includes corrections calculated elsewhere and data needed for corrections calculated in this model.</t>
  </si>
  <si>
    <t>This sheet contains the calculation of the energy cost correction for the water production.</t>
  </si>
  <si>
    <t>Fuel cost correction 2022</t>
  </si>
  <si>
    <t>Cost of emergency production 2022</t>
  </si>
  <si>
    <t>This sheet gives an overview of corrections that affect the tariffs for 2024 and converts them to price level 2024.</t>
  </si>
  <si>
    <t>Production by GTI</t>
  </si>
  <si>
    <t>Production excluding GTI</t>
  </si>
  <si>
    <t>Electricity production 2022, sheet "Elec Meter readings Month(2022), row 48</t>
  </si>
  <si>
    <t>Volume for electricity distribution is the average of the total amount of kVA per month.</t>
  </si>
  <si>
    <t>Costs of emergency production are renumerated separately and not part of the regulatory cost base for 2024 or for profit sharing. Therefore, production by GTI is omitted from realized volume for profit sharing and for the income level 2024.</t>
  </si>
  <si>
    <t>From September to december 2022 STUCO needed to purchase electricity produced by GTI. Because this falls outside of the fuel model and the opex model, STUCO is compensated for this separately.</t>
  </si>
  <si>
    <t>Calculation additons in RAB and depreciation due to new water connections</t>
  </si>
  <si>
    <t>Additional costs of major occurrences</t>
  </si>
  <si>
    <t>Additional capital cost of major occurrences</t>
  </si>
  <si>
    <t>Delta Petroleum Inv #20231012_Oct 12</t>
  </si>
  <si>
    <t>E-mail sent by STUCO on November 19, 2023.</t>
  </si>
  <si>
    <t>WACC elektriciteit en drinkwater Caribisch Nederland 2020-2022 | ACM.nl</t>
  </si>
  <si>
    <t>Besluit WACC Caribisch Nederland 2020-2022</t>
  </si>
  <si>
    <t>ACM Method decision 2020-2025</t>
  </si>
  <si>
    <t>Methodebesluit elektriciteit en drinkwater Caribisch Nederland 2020-2025 | ACM.nl</t>
  </si>
  <si>
    <t>Methodebesluit elektriciteit en drinkwater Caribisch Nederland 2020-2025</t>
  </si>
  <si>
    <t>Beschikking variabel tarief elektriciteit 1 juli 2023 St. Eustatius | ACM.nl</t>
  </si>
  <si>
    <t>Tariff decision 2023-1</t>
  </si>
  <si>
    <t>Tariff decision 2023-2</t>
  </si>
  <si>
    <t>Tariff decision 2022-2</t>
  </si>
  <si>
    <t>Tariff decision 2022-1</t>
  </si>
  <si>
    <t>Beschikking variabel tarief elektriciteit 1 juli 2022 St. Eustatius (Caribisch Nederland) | ACM.nl</t>
  </si>
  <si>
    <t>Berekening variabel gebruikstarief STUCO</t>
  </si>
  <si>
    <t>Berekening tarieven STUCO 2022</t>
  </si>
  <si>
    <t>Beschikking variabel gebruikstarief St. Eustatius</t>
  </si>
  <si>
    <t>The outcome of the tariff calculations is displayed on this sheet.</t>
  </si>
  <si>
    <t>Tariff decision 2023-1, sheet "Tariffs drinking water"; row 69</t>
  </si>
  <si>
    <t>Tariff decision 2023-1, sheet "Tariffs drinking water"; row 70</t>
  </si>
  <si>
    <t>Tariff decision 2023-1, sheet "Tariffs electricity"; row 111</t>
  </si>
  <si>
    <t>Tariff decision 2023-1, sheet "Tariffs electricity"; row 112</t>
  </si>
  <si>
    <t>Tariff decision 2023-1, sheet "Tariffs electricity"; row 113</t>
  </si>
  <si>
    <t>Tariff decision 2023-1, sheet "Tariffs electricity"; row 108; sheet "Tariffs drinking water"; row 66</t>
  </si>
  <si>
    <t>On this sheet the ACM calculates additions in the RAB due to new water connections, as described in paragraph 96 and 97 of the distribution tariff decision for drinking water.</t>
  </si>
  <si>
    <t>Realized costs (before split water distribution)</t>
  </si>
  <si>
    <t>Realized costs (after split water distribution)</t>
  </si>
  <si>
    <t>On this sheet the ACM splits costs per department in a fixed and variable part and calculates the income level per department</t>
  </si>
  <si>
    <t>On this sheet the ACM calculates the production price for electricity</t>
  </si>
  <si>
    <t>Calculation Electriciy Distribution</t>
  </si>
  <si>
    <t>On this sheet the ACM calculates the fixed and variable distribution tariffs for energy.</t>
  </si>
  <si>
    <t>Profit sharing: network losses 2022 per kWh</t>
  </si>
  <si>
    <t>Fuel component correction per kWh</t>
  </si>
  <si>
    <t>Only applicable for the period January - June 2024</t>
  </si>
  <si>
    <t xml:space="preserve">Calculation Production Price Electricity </t>
  </si>
  <si>
    <t>Calculation Production Price Drinking Water</t>
  </si>
  <si>
    <t>On this sheet the ACM calculates the production price for drinking water.</t>
  </si>
  <si>
    <t>Calculation Distribution Tariffs Drinking Water</t>
  </si>
  <si>
    <t>On this sheet the ACM calculates the drinking water distribution tariffs.</t>
  </si>
  <si>
    <t>Calculating components for the tariff</t>
  </si>
  <si>
    <t>Tariff distribution by truck</t>
  </si>
  <si>
    <t>Costs per m3 distribution water by truck</t>
  </si>
  <si>
    <t>Bijschatting kapitaalkosten waterdistributie</t>
  </si>
  <si>
    <t>Dictum en Bijlage 1 Besluit: tariffs and key figures Electricity</t>
  </si>
  <si>
    <t>Tariffs to include in Dictum production price decision</t>
  </si>
  <si>
    <t xml:space="preserve">Production price electricity excl. fuel </t>
  </si>
  <si>
    <t xml:space="preserve">Variable distribution tariff electricity </t>
  </si>
  <si>
    <t xml:space="preserve">Fixed distribution tariff electricity </t>
  </si>
  <si>
    <t>Tariff per kVA</t>
  </si>
  <si>
    <t xml:space="preserve">Tariff category </t>
  </si>
  <si>
    <t xml:space="preserve">  3,2 kVA</t>
  </si>
  <si>
    <t xml:space="preserve">  7,7 kVA</t>
  </si>
  <si>
    <t xml:space="preserve">  11 kVA</t>
  </si>
  <si>
    <t xml:space="preserve">  13,86 kVA</t>
  </si>
  <si>
    <t xml:space="preserve">  13,3 kVA</t>
  </si>
  <si>
    <t xml:space="preserve">  19 kVA</t>
  </si>
  <si>
    <t xml:space="preserve">  23,94 kVA</t>
  </si>
  <si>
    <t xml:space="preserve">  30,4 kVA</t>
  </si>
  <si>
    <t xml:space="preserve">  38 kVA</t>
  </si>
  <si>
    <t xml:space="preserve">  47,5 kVA</t>
  </si>
  <si>
    <t xml:space="preserve">  60,8 kVA</t>
  </si>
  <si>
    <t xml:space="preserve">  76 kVA</t>
  </si>
  <si>
    <t xml:space="preserve">  85,5 kVA</t>
  </si>
  <si>
    <t xml:space="preserve">  95 kVA</t>
  </si>
  <si>
    <t xml:space="preserve">  119,7 kVA</t>
  </si>
  <si>
    <t xml:space="preserve">  175 kVA</t>
  </si>
  <si>
    <t xml:space="preserve">Connections tariffs electricity </t>
  </si>
  <si>
    <t xml:space="preserve">Additional tariff for road crossing </t>
  </si>
  <si>
    <t>Profit sharing percentage</t>
  </si>
  <si>
    <t xml:space="preserve">  of which are the estimated variable costs per unit</t>
  </si>
  <si>
    <t>Total estimated production volume</t>
  </si>
  <si>
    <t xml:space="preserve">   Production by solar</t>
  </si>
  <si>
    <t xml:space="preserve">   Production by fuel</t>
  </si>
  <si>
    <t>Estimated production yield for fuel</t>
  </si>
  <si>
    <t>Liter/kWh</t>
  </si>
  <si>
    <t>Price fuel (most recent)</t>
  </si>
  <si>
    <t xml:space="preserve">Note: 'pl' means price level </t>
  </si>
  <si>
    <t xml:space="preserve">On this sheet all the relevant information to include in the appendix of the decision on the tariffs of 2024 is shown. </t>
  </si>
  <si>
    <t>USD, pl 2024 / kWh</t>
  </si>
  <si>
    <t>USD, pl 2024 / month</t>
  </si>
  <si>
    <t>Dictum en Bijlage 1 Besluit: tariffs and key figures Drinking Water</t>
  </si>
  <si>
    <t>Production price drinking water</t>
  </si>
  <si>
    <t xml:space="preserve">Variable distribution tariff drinking water </t>
  </si>
  <si>
    <t xml:space="preserve">Fixed distribution tariff drinking water </t>
  </si>
  <si>
    <t>Connection tariffs drinking water</t>
  </si>
  <si>
    <t>Price drinking water by truck</t>
  </si>
  <si>
    <t>Percentage for profit sharing</t>
  </si>
  <si>
    <t xml:space="preserve">Water production </t>
  </si>
  <si>
    <t xml:space="preserve">Water distribution </t>
  </si>
  <si>
    <t>Data on developments</t>
  </si>
  <si>
    <t xml:space="preserve">  plus extra variable capital costs per new water connection</t>
  </si>
  <si>
    <t>Additional: total electricity costs for production of drinking water</t>
  </si>
  <si>
    <t xml:space="preserve">   of which distributed by truck</t>
  </si>
  <si>
    <t>Required electricity for drinking water</t>
  </si>
  <si>
    <t>kVA-connection for water production</t>
  </si>
  <si>
    <t>USD, pp 2024 / m3</t>
  </si>
  <si>
    <t xml:space="preserve">USD, pp 2024 / month </t>
  </si>
  <si>
    <t>Summary of cost data 2022</t>
  </si>
  <si>
    <t>Regulated Asset Value (ultimo 2022)</t>
  </si>
  <si>
    <t>Depreciation over 2022</t>
  </si>
  <si>
    <t>Volume-effect 2022</t>
  </si>
  <si>
    <t>Profit sharing: regular costs 2022</t>
  </si>
  <si>
    <t>Energy costs correction 2023</t>
  </si>
  <si>
    <t>Distribution tariffs 2024</t>
  </si>
  <si>
    <t>Key figures Tariff decisions STUCO 2024 - Drinking Water</t>
  </si>
  <si>
    <t>WACC 2024 - Electricity Production</t>
  </si>
  <si>
    <t>WACC 2024 - Electricity Distribution</t>
  </si>
  <si>
    <t>WACC 2024 - Water Production and Distribution</t>
  </si>
  <si>
    <t>Expected percentage of drinking water delivered by truck in 2024</t>
  </si>
  <si>
    <t>Addition in RAB in 2024 due to growth of the water network</t>
  </si>
  <si>
    <t>Addition in depreciation in 2024 due to growth of the water network</t>
  </si>
  <si>
    <t>Income level 2024</t>
  </si>
  <si>
    <t>Total estimated costs 2024 based on estimated volume 2024</t>
  </si>
  <si>
    <t>Income level 2024 after corrections</t>
  </si>
  <si>
    <t>Other parameters (expectations 2024 drinking water)</t>
  </si>
  <si>
    <t>Network loss (estimated for 2024)</t>
  </si>
  <si>
    <t>Expected number of connections 2024 (standard category)</t>
  </si>
  <si>
    <t>Other parameters (expectations 2024 electricity)</t>
  </si>
  <si>
    <t>Network losses (estimate for 2024)</t>
  </si>
  <si>
    <t>Total capacity of the network (estimate for 2024)</t>
  </si>
  <si>
    <t xml:space="preserve">Key figures Tariff decisions STUCO 2024 - Electricity </t>
  </si>
  <si>
    <t xml:space="preserve">  200 kVA</t>
  </si>
  <si>
    <t>Explanantory notes</t>
  </si>
  <si>
    <t>WACC electricty production</t>
  </si>
  <si>
    <t>Solar Park</t>
  </si>
  <si>
    <t>Total costs phase 3</t>
  </si>
  <si>
    <t>Subsidy EZK phase 3</t>
  </si>
  <si>
    <t>Contribution STUCO to phase 3</t>
  </si>
  <si>
    <t>Estimated date of capitalization</t>
  </si>
  <si>
    <t>Depreciation rate</t>
  </si>
  <si>
    <t>Fuel Depot</t>
  </si>
  <si>
    <t>Cost of fuel depot</t>
  </si>
  <si>
    <t>Estimated date of captialization</t>
  </si>
  <si>
    <t>Solar park</t>
  </si>
  <si>
    <t>Annual depreciation</t>
  </si>
  <si>
    <t>Depreciation in 2024</t>
  </si>
  <si>
    <t>Estimated RAB value ultimo 2024</t>
  </si>
  <si>
    <t>Average RAB value 2024</t>
  </si>
  <si>
    <t xml:space="preserve">Period in use </t>
  </si>
  <si>
    <t>Months</t>
  </si>
  <si>
    <t>Average RAB value 2024, by ratio of months in use</t>
  </si>
  <si>
    <t>Estimated captial costs in 2024</t>
  </si>
  <si>
    <t>Fuel depot</t>
  </si>
  <si>
    <t>Depreciation in 2023</t>
  </si>
  <si>
    <t>Estimated RAB value ultimo 2023</t>
  </si>
  <si>
    <t>RAB value ultimo 2024</t>
  </si>
  <si>
    <t>Capital costs 2024</t>
  </si>
  <si>
    <t>Additions to cost estimates related to major occurences</t>
  </si>
  <si>
    <t>This instrument is described in paragraph 91-95 of the ACM method decision</t>
  </si>
  <si>
    <t>On this sheet the ACM caluclates additional capital costs related to new investments in electricity production.</t>
  </si>
  <si>
    <t>E-mail sent by STUCO on November 22</t>
  </si>
  <si>
    <t>To be added to estimated fixed costs for electricity production 2024</t>
  </si>
  <si>
    <t>Total electricity costs for water production</t>
  </si>
  <si>
    <t>Therefore, the ACM estimates the depreciation rate and date of capitalization based on available information. If the ACM deems it necessary, she can correct for inaccuracies caused by this in the tariff decisions 2026.</t>
  </si>
  <si>
    <t>While the ACM accepts the aquisition of the fuel depot as a major occurrece, because it is certain that this happened, the ACM does not have complete information required to calculate capital costs ove 2024 for this investment.</t>
  </si>
  <si>
    <t>Assumption ACM, based on fuel invoices</t>
  </si>
  <si>
    <t>Assumption ACM, based on depreciation scheme in financial statements STUCO 2022</t>
  </si>
  <si>
    <t>Capital costs in 2024 related to major occurrences</t>
  </si>
  <si>
    <t>Total capital costs of major occurrences</t>
  </si>
  <si>
    <t>ACM/UIT/606596
ACM/UIT/606606
ACM/UIT/606610
ACM/UIT/606613</t>
  </si>
  <si>
    <t xml:space="preserve">Calculation capital costs </t>
  </si>
  <si>
    <t xml:space="preserve">STUCO has submitted a budget containing costs related to phase 3 of the solar park and the aquisition of a fuel depot. Because these are large, incidental investments that do not meet the assumption of continuous replacement, the ACM assesses them as a major occurrence. </t>
  </si>
  <si>
    <t xml:space="preserve">The expected capital cost of solar park phase 3 and the fuel depot for are added to the estimated capital cost of the current assets.  </t>
  </si>
  <si>
    <t>This file uses the output from the OPEX model, RAB model and the Fuel model.</t>
  </si>
  <si>
    <t>Yes</t>
  </si>
  <si>
    <t>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</si>
</sst>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_ * #,##0_ ;_ * \-#,##0_ ;_ * &quot;-&quot;??_ ;_ @_ "/>
    <numFmt numFmtId="165" formatCode="_ * #,##0.000_ ;_ * \-#,##0.000_ ;_ * &quot;-&quot;??_ ;_ @_ "/>
    <numFmt numFmtId="166" formatCode="_ * #,##0.0000_ ;_ * \-#,##0.0000_ ;_ * &quot;-&quot;??_ ;_ @_ "/>
    <numFmt numFmtId="167" formatCode="0.0%"/>
    <numFmt numFmtId="168" formatCode="_ * #,##0.0_ ;_ * \-#,##0.0_ ;_ * &quot;-&quot;??_ ;_ @_ "/>
    <numFmt numFmtId="169" formatCode="0.0"/>
    <numFmt numFmtId="170" formatCode="0.0000"/>
    <numFmt numFmtId="171" formatCode="_ * #,##0.00000_ ;_ * \-#,##0.00000_ ;_ * &quot;-&quot;??_ ;_ @_ "/>
    <numFmt numFmtId="172" formatCode="_ * #,##0.0_ ;_ * \-#,##0.0_ ;_ * &quot;-&quot;_ ;_ @_ "/>
    <numFmt numFmtId="173" formatCode="_ * #,##0.00_ ;_ * \-#,##0.00_ ;_ * &quot;-&quot;_ ;_ @_ "/>
    <numFmt numFmtId="174" formatCode="_ * #,##0.000_ ;_ * \-#,##0.000_ ;_ * &quot;-&quot;_ ;_ @_ "/>
    <numFmt numFmtId="175" formatCode="_ * #,##0.0000_ ;_ * \-#,##0.0000_ ;_ * &quot;-&quot;_ ;_ @_ "/>
  </numFmts>
  <fonts count="33" x14ac:knownFonts="1">
    <font>
      <sz val="10"/>
      <color theme="1"/>
      <name val="Arial"/>
      <family val="2"/>
    </font>
    <font>
      <sz val="10"/>
      <color theme="1"/>
      <name val="Arial"/>
      <family val="2"/>
    </font>
    <font>
      <sz val="11"/>
      <color rgb="FF006100"/>
      <name val="Calibri"/>
      <family val="2"/>
      <scheme val="minor"/>
    </font>
    <font>
      <sz val="11"/>
      <color rgb="FF9C0006"/>
      <name val="Calibri"/>
      <family val="2"/>
      <scheme val="minor"/>
    </font>
    <font>
      <sz val="11"/>
      <color rgb="FF9C6500"/>
      <name val="Calibri"/>
      <family val="2"/>
      <scheme val="minor"/>
    </font>
    <font>
      <sz val="10"/>
      <name val="Arial"/>
      <family val="2"/>
    </font>
    <font>
      <b/>
      <sz val="10"/>
      <name val="Arial"/>
      <family val="2"/>
    </font>
    <font>
      <sz val="10"/>
      <name val="Arial"/>
      <family val="2"/>
    </font>
    <font>
      <b/>
      <sz val="14"/>
      <color theme="0"/>
      <name val="Arial"/>
      <family val="2"/>
    </font>
    <font>
      <i/>
      <sz val="10"/>
      <name val="Arial"/>
      <family val="2"/>
    </font>
    <font>
      <b/>
      <sz val="10"/>
      <color rgb="FFFF0000"/>
      <name val="Arial"/>
      <family val="2"/>
    </font>
    <font>
      <sz val="8"/>
      <color indexed="81"/>
      <name val="Tahoma"/>
      <family val="2"/>
    </font>
    <font>
      <b/>
      <sz val="10"/>
      <color theme="0"/>
      <name val="Arial"/>
      <family val="2"/>
    </font>
    <font>
      <sz val="10"/>
      <color rgb="FFFF0000"/>
      <name val="Arial"/>
      <family val="2"/>
    </font>
    <font>
      <sz val="11"/>
      <color theme="1"/>
      <name val="Calibri"/>
      <family val="2"/>
      <scheme val="minor"/>
    </font>
    <font>
      <sz val="10"/>
      <color rgb="FF3F3F76"/>
      <name val="Arial"/>
      <family val="2"/>
    </font>
    <font>
      <b/>
      <sz val="10"/>
      <color rgb="FF3F3F3F"/>
      <name val="Arial"/>
      <family val="2"/>
    </font>
    <font>
      <b/>
      <sz val="10"/>
      <color rgb="FFFA7D00"/>
      <name val="Arial"/>
      <family val="2"/>
    </font>
    <font>
      <sz val="10"/>
      <color rgb="FFFA7D00"/>
      <name val="Arial"/>
      <family val="2"/>
    </font>
    <font>
      <u/>
      <sz val="11"/>
      <color theme="10"/>
      <name val="Calibri"/>
      <family val="2"/>
      <scheme val="minor"/>
    </font>
    <font>
      <u/>
      <sz val="10"/>
      <color theme="10"/>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i/>
      <sz val="10"/>
      <color rgb="FF7F7F7F"/>
      <name val="Arial"/>
      <family val="2"/>
    </font>
    <font>
      <b/>
      <sz val="10"/>
      <color theme="1"/>
      <name val="Arial"/>
      <family val="2"/>
    </font>
    <font>
      <sz val="10"/>
      <color theme="0"/>
      <name val="Arial"/>
      <family val="2"/>
    </font>
    <font>
      <u/>
      <sz val="11"/>
      <color theme="11"/>
      <name val="Calibri"/>
      <family val="2"/>
      <scheme val="minor"/>
    </font>
    <font>
      <b/>
      <sz val="10"/>
      <color rgb="FF00B0F0"/>
      <name val="Arial"/>
      <family val="2"/>
    </font>
    <font>
      <sz val="10"/>
      <color rgb="FF00B0F0"/>
      <name val="Arial"/>
      <family val="2"/>
    </font>
    <font>
      <sz val="8"/>
      <name val="Arial"/>
      <family val="2"/>
    </font>
    <font>
      <sz val="10"/>
      <color indexed="8"/>
      <name val="Arial"/>
      <family val="2"/>
    </font>
  </fonts>
  <fills count="4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5F1F7A"/>
        <bgColor indexed="64"/>
      </patternFill>
    </fill>
    <fill>
      <patternFill patternType="solid">
        <fgColor theme="0" tint="-0.14999847407452621"/>
        <bgColor indexed="64"/>
      </patternFill>
    </fill>
    <fill>
      <patternFill patternType="solid">
        <fgColor rgb="FFFF00FF"/>
        <bgColor indexed="64"/>
      </patternFill>
    </fill>
    <fill>
      <patternFill patternType="solid">
        <fgColor rgb="FFFFCCFF"/>
        <bgColor indexed="64"/>
      </patternFill>
    </fill>
    <fill>
      <patternFill patternType="solid">
        <fgColor rgb="FFFFFFCC"/>
        <bgColor indexed="64"/>
      </patternFill>
    </fill>
    <fill>
      <patternFill patternType="solid">
        <fgColor rgb="FFCCFFFF"/>
        <bgColor indexed="64"/>
      </patternFill>
    </fill>
    <fill>
      <patternFill patternType="solid">
        <fgColor rgb="FFFFCC99"/>
        <bgColor indexed="64"/>
      </patternFill>
    </fill>
    <fill>
      <patternFill patternType="solid">
        <fgColor theme="0" tint="-4.9989318521683403E-2"/>
        <bgColor indexed="64"/>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rgb="FFCCC8D9"/>
        <bgColor indexed="64"/>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6795556505021"/>
        <bgColor indexed="64"/>
      </patternFill>
    </fill>
    <fill>
      <patternFill patternType="solid">
        <fgColor rgb="FF99FF99"/>
        <bgColor indexed="64"/>
      </patternFill>
    </fill>
    <fill>
      <patternFill patternType="solid">
        <fgColor rgb="FFE1FFE1"/>
        <bgColor indexed="64"/>
      </patternFill>
    </fill>
    <fill>
      <patternFill patternType="solid">
        <fgColor rgb="FFCCFFCC"/>
        <bgColor indexed="64"/>
      </patternFill>
    </fill>
    <fill>
      <patternFill patternType="solid">
        <fgColor theme="0"/>
        <bgColor indexed="64"/>
      </patternFill>
    </fill>
  </fills>
  <borders count="22">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74">
    <xf numFmtId="0" fontId="0" fillId="0" borderId="0">
      <alignment vertical="top"/>
    </xf>
    <xf numFmtId="0" fontId="2" fillId="2" borderId="0" applyNumberFormat="0" applyBorder="0" applyAlignment="0" applyProtection="0"/>
    <xf numFmtId="0" fontId="3" fillId="3" borderId="0" applyNumberFormat="0" applyBorder="0" applyAlignment="0" applyProtection="0"/>
    <xf numFmtId="0" fontId="4" fillId="4" borderId="0" applyNumberFormat="0" applyBorder="0" applyAlignment="0" applyProtection="0"/>
    <xf numFmtId="0" fontId="5" fillId="0" borderId="0">
      <alignment vertical="top"/>
    </xf>
    <xf numFmtId="49" fontId="8" fillId="5" borderId="1">
      <alignment vertical="top"/>
    </xf>
    <xf numFmtId="49" fontId="6" fillId="17" borderId="1">
      <alignment vertical="top"/>
    </xf>
    <xf numFmtId="49" fontId="6" fillId="0" borderId="0">
      <alignment vertical="top"/>
    </xf>
    <xf numFmtId="41" fontId="5" fillId="10" borderId="0">
      <alignment vertical="top"/>
    </xf>
    <xf numFmtId="41" fontId="5" fillId="9" borderId="0">
      <alignment vertical="top"/>
    </xf>
    <xf numFmtId="41" fontId="5" fillId="8" borderId="0">
      <alignment vertical="top"/>
    </xf>
    <xf numFmtId="41" fontId="5" fillId="44" borderId="0">
      <alignment vertical="top"/>
    </xf>
    <xf numFmtId="41" fontId="5" fillId="7" borderId="0">
      <alignment vertical="top"/>
    </xf>
    <xf numFmtId="41" fontId="5" fillId="11" borderId="0">
      <alignment vertical="top"/>
    </xf>
    <xf numFmtId="49" fontId="10" fillId="0" borderId="0">
      <alignment vertical="top"/>
    </xf>
    <xf numFmtId="49" fontId="9" fillId="0" borderId="0">
      <alignment vertical="top"/>
    </xf>
    <xf numFmtId="0" fontId="15" fillId="13" borderId="8" applyNumberFormat="0" applyAlignment="0" applyProtection="0"/>
    <xf numFmtId="0" fontId="16" fillId="14" borderId="9" applyNumberFormat="0" applyAlignment="0" applyProtection="0"/>
    <xf numFmtId="0" fontId="17" fillId="14" borderId="8" applyNumberFormat="0" applyAlignment="0" applyProtection="0"/>
    <xf numFmtId="0" fontId="18" fillId="0" borderId="10" applyNumberFormat="0" applyFill="0" applyAlignment="0" applyProtection="0"/>
    <xf numFmtId="0" fontId="12" fillId="15" borderId="11" applyNumberFormat="0" applyAlignment="0" applyProtection="0"/>
    <xf numFmtId="0" fontId="14" fillId="16" borderId="12" applyNumberFormat="0" applyFont="0" applyAlignment="0" applyProtection="0"/>
    <xf numFmtId="0" fontId="19" fillId="0" borderId="0" applyNumberFormat="0" applyFill="0" applyBorder="0" applyAlignment="0" applyProtection="0"/>
    <xf numFmtId="43" fontId="14" fillId="0" borderId="0" applyFont="0" applyFill="0" applyBorder="0" applyAlignment="0" applyProtection="0"/>
    <xf numFmtId="41" fontId="14" fillId="0" borderId="0" applyFont="0" applyFill="0" applyBorder="0" applyAlignment="0" applyProtection="0"/>
    <xf numFmtId="44" fontId="14" fillId="0" borderId="0" applyFont="0" applyFill="0" applyBorder="0" applyAlignment="0" applyProtection="0"/>
    <xf numFmtId="42" fontId="14" fillId="0" borderId="0" applyFont="0" applyFill="0" applyBorder="0" applyAlignment="0" applyProtection="0"/>
    <xf numFmtId="9" fontId="14" fillId="0" borderId="0" applyFont="0" applyFill="0" applyBorder="0" applyAlignment="0" applyProtection="0"/>
    <xf numFmtId="0" fontId="21" fillId="0" borderId="0" applyNumberFormat="0" applyFill="0" applyBorder="0" applyAlignment="0" applyProtection="0"/>
    <xf numFmtId="0" fontId="22" fillId="0" borderId="13" applyNumberFormat="0" applyFill="0" applyAlignment="0" applyProtection="0"/>
    <xf numFmtId="0" fontId="23" fillId="0" borderId="14" applyNumberFormat="0" applyFill="0" applyAlignment="0" applyProtection="0"/>
    <xf numFmtId="0" fontId="24" fillId="0" borderId="15" applyNumberFormat="0" applyFill="0" applyAlignment="0" applyProtection="0"/>
    <xf numFmtId="0" fontId="24" fillId="0" borderId="0" applyNumberFormat="0" applyFill="0" applyBorder="0" applyAlignment="0" applyProtection="0"/>
    <xf numFmtId="0" fontId="13" fillId="0" borderId="0" applyNumberFormat="0" applyFill="0" applyBorder="0" applyAlignment="0" applyProtection="0"/>
    <xf numFmtId="0" fontId="25" fillId="0" borderId="0" applyNumberFormat="0" applyFill="0" applyBorder="0" applyAlignment="0" applyProtection="0"/>
    <xf numFmtId="0" fontId="26" fillId="0" borderId="16" applyNumberFormat="0" applyFill="0" applyAlignment="0" applyProtection="0"/>
    <xf numFmtId="0" fontId="27"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7" fillId="33" borderId="0" applyNumberFormat="0" applyBorder="0" applyAlignment="0" applyProtection="0"/>
    <xf numFmtId="0" fontId="27"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27" fillId="37" borderId="0" applyNumberFormat="0" applyBorder="0" applyAlignment="0" applyProtection="0"/>
    <xf numFmtId="0" fontId="27"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27" fillId="41" borderId="0" applyNumberFormat="0" applyBorder="0" applyAlignment="0" applyProtection="0"/>
    <xf numFmtId="0" fontId="28" fillId="0" borderId="0" applyNumberFormat="0" applyFill="0" applyBorder="0" applyAlignment="0" applyProtection="0"/>
    <xf numFmtId="49" fontId="20" fillId="0" borderId="0" applyFill="0" applyBorder="0" applyAlignment="0" applyProtection="0"/>
    <xf numFmtId="43" fontId="5" fillId="42" borderId="0" applyNumberFormat="0">
      <alignment vertical="top"/>
    </xf>
    <xf numFmtId="43" fontId="5" fillId="9" borderId="0" applyFont="0" applyFill="0" applyBorder="0" applyAlignment="0" applyProtection="0">
      <alignment vertical="top"/>
    </xf>
    <xf numFmtId="10" fontId="5" fillId="0" borderId="0" applyFont="0" applyFill="0" applyBorder="0" applyAlignment="0" applyProtection="0">
      <alignment vertical="top"/>
    </xf>
    <xf numFmtId="41" fontId="5" fillId="43" borderId="0">
      <alignment vertical="top"/>
    </xf>
    <xf numFmtId="0" fontId="14" fillId="0" borderId="0"/>
    <xf numFmtId="43" fontId="5" fillId="45" borderId="0">
      <alignment vertical="top"/>
    </xf>
    <xf numFmtId="43" fontId="5" fillId="9" borderId="0">
      <alignment vertical="top"/>
    </xf>
    <xf numFmtId="49" fontId="6" fillId="17" borderId="1">
      <alignment vertical="top"/>
    </xf>
    <xf numFmtId="43" fontId="5" fillId="10" borderId="0">
      <alignment vertical="top"/>
    </xf>
    <xf numFmtId="43" fontId="5" fillId="11" borderId="0">
      <alignment vertical="top"/>
    </xf>
    <xf numFmtId="43" fontId="5" fillId="8" borderId="0">
      <alignment vertical="top"/>
    </xf>
    <xf numFmtId="0" fontId="32" fillId="0" borderId="0">
      <alignment vertical="top"/>
    </xf>
  </cellStyleXfs>
  <cellXfs count="173">
    <xf numFmtId="0" fontId="0" fillId="0" borderId="0" xfId="0">
      <alignment vertical="top"/>
    </xf>
    <xf numFmtId="0" fontId="6" fillId="0" borderId="0" xfId="4" applyFont="1">
      <alignment vertical="top"/>
    </xf>
    <xf numFmtId="0" fontId="5" fillId="0" borderId="0" xfId="4">
      <alignment vertical="top"/>
    </xf>
    <xf numFmtId="0" fontId="7" fillId="0" borderId="0" xfId="4" applyFont="1">
      <alignment vertical="top"/>
    </xf>
    <xf numFmtId="0" fontId="9" fillId="0" borderId="0" xfId="4" applyFont="1">
      <alignment vertical="top"/>
    </xf>
    <xf numFmtId="0" fontId="10" fillId="0" borderId="0" xfId="4" applyFont="1">
      <alignment vertical="top"/>
    </xf>
    <xf numFmtId="0" fontId="5" fillId="0" borderId="2" xfId="4" applyBorder="1">
      <alignment vertical="top"/>
    </xf>
    <xf numFmtId="49" fontId="8" fillId="5" borderId="1" xfId="5">
      <alignment vertical="top"/>
    </xf>
    <xf numFmtId="49" fontId="6" fillId="17" borderId="1" xfId="6">
      <alignment vertical="top"/>
    </xf>
    <xf numFmtId="0" fontId="5" fillId="0" borderId="2" xfId="4" applyBorder="1" applyAlignment="1">
      <alignment horizontal="left" vertical="top" wrapText="1"/>
    </xf>
    <xf numFmtId="0" fontId="5" fillId="6" borderId="0" xfId="4" applyFill="1">
      <alignment vertical="top"/>
    </xf>
    <xf numFmtId="1" fontId="5" fillId="0" borderId="0" xfId="4" applyNumberFormat="1">
      <alignment vertical="top"/>
    </xf>
    <xf numFmtId="0" fontId="8" fillId="5" borderId="1" xfId="5" applyNumberFormat="1">
      <alignment vertical="top"/>
    </xf>
    <xf numFmtId="0" fontId="13" fillId="0" borderId="0" xfId="4" applyFont="1">
      <alignment vertical="top"/>
    </xf>
    <xf numFmtId="0" fontId="5" fillId="12" borderId="0" xfId="4" applyFill="1">
      <alignment vertical="top"/>
    </xf>
    <xf numFmtId="49" fontId="5" fillId="17" borderId="2" xfId="6" applyFont="1" applyBorder="1">
      <alignment vertical="top"/>
    </xf>
    <xf numFmtId="0" fontId="5" fillId="0" borderId="0" xfId="4" quotePrefix="1">
      <alignment vertical="top"/>
    </xf>
    <xf numFmtId="0" fontId="7" fillId="0" borderId="0" xfId="4" applyFont="1" applyAlignment="1">
      <alignment horizontal="left" vertical="top" wrapText="1"/>
    </xf>
    <xf numFmtId="49" fontId="10" fillId="0" borderId="0" xfId="14">
      <alignment vertical="top"/>
    </xf>
    <xf numFmtId="49" fontId="6" fillId="0" borderId="0" xfId="7">
      <alignment vertical="top"/>
    </xf>
    <xf numFmtId="49" fontId="9" fillId="0" borderId="0" xfId="15">
      <alignment vertical="top"/>
    </xf>
    <xf numFmtId="41" fontId="5" fillId="10" borderId="0" xfId="8">
      <alignment vertical="top"/>
    </xf>
    <xf numFmtId="9" fontId="5" fillId="0" borderId="0" xfId="4" applyNumberFormat="1">
      <alignment vertical="top"/>
    </xf>
    <xf numFmtId="41" fontId="5" fillId="8" borderId="0" xfId="10">
      <alignment vertical="top"/>
    </xf>
    <xf numFmtId="41" fontId="5" fillId="7" borderId="0" xfId="12">
      <alignment vertical="top"/>
    </xf>
    <xf numFmtId="41" fontId="5" fillId="44" borderId="0" xfId="11">
      <alignment vertical="top"/>
    </xf>
    <xf numFmtId="41" fontId="5" fillId="11" borderId="0" xfId="13">
      <alignment vertical="top"/>
    </xf>
    <xf numFmtId="41" fontId="5" fillId="9" borderId="0" xfId="9">
      <alignment vertical="top"/>
    </xf>
    <xf numFmtId="49" fontId="29" fillId="0" borderId="0" xfId="14" applyFont="1">
      <alignment vertical="top"/>
    </xf>
    <xf numFmtId="0" fontId="30" fillId="0" borderId="0" xfId="4" applyFont="1">
      <alignment vertical="top"/>
    </xf>
    <xf numFmtId="49" fontId="5" fillId="17" borderId="0" xfId="6" applyFont="1" applyBorder="1">
      <alignment vertical="top"/>
    </xf>
    <xf numFmtId="49" fontId="12" fillId="5" borderId="1" xfId="5" applyFont="1">
      <alignment vertical="top"/>
    </xf>
    <xf numFmtId="49" fontId="5" fillId="0" borderId="0" xfId="7" applyFont="1">
      <alignment vertical="top"/>
    </xf>
    <xf numFmtId="0" fontId="9" fillId="12" borderId="0" xfId="4" applyFont="1" applyFill="1">
      <alignment vertical="top"/>
    </xf>
    <xf numFmtId="0" fontId="14" fillId="0" borderId="0" xfId="66" applyAlignment="1">
      <alignment vertical="top"/>
    </xf>
    <xf numFmtId="43" fontId="5" fillId="45" borderId="0" xfId="67">
      <alignment vertical="top"/>
    </xf>
    <xf numFmtId="43" fontId="5" fillId="9" borderId="0" xfId="68">
      <alignment vertical="top"/>
    </xf>
    <xf numFmtId="10" fontId="5" fillId="9" borderId="0" xfId="68" applyNumberFormat="1">
      <alignment vertical="top"/>
    </xf>
    <xf numFmtId="10" fontId="5" fillId="45" borderId="0" xfId="67" applyNumberFormat="1">
      <alignment vertical="top"/>
    </xf>
    <xf numFmtId="49" fontId="6" fillId="17" borderId="1" xfId="69">
      <alignment vertical="top"/>
    </xf>
    <xf numFmtId="9" fontId="5" fillId="45" borderId="0" xfId="67" applyNumberFormat="1">
      <alignment vertical="top"/>
    </xf>
    <xf numFmtId="164" fontId="5" fillId="9" borderId="0" xfId="68" applyNumberFormat="1">
      <alignment vertical="top"/>
    </xf>
    <xf numFmtId="164" fontId="5" fillId="45" borderId="0" xfId="67" applyNumberFormat="1">
      <alignment vertical="top"/>
    </xf>
    <xf numFmtId="164" fontId="13" fillId="6" borderId="0" xfId="67" applyNumberFormat="1" applyFont="1" applyFill="1">
      <alignment vertical="top"/>
    </xf>
    <xf numFmtId="164" fontId="5" fillId="0" borderId="0" xfId="4" applyNumberFormat="1">
      <alignment vertical="top"/>
    </xf>
    <xf numFmtId="164" fontId="13" fillId="0" borderId="0" xfId="4" applyNumberFormat="1" applyFont="1">
      <alignment vertical="top"/>
    </xf>
    <xf numFmtId="0" fontId="13" fillId="6" borderId="0" xfId="4" applyFont="1" applyFill="1">
      <alignment vertical="top"/>
    </xf>
    <xf numFmtId="49" fontId="5" fillId="0" borderId="0" xfId="14" applyFont="1">
      <alignment vertical="top"/>
    </xf>
    <xf numFmtId="0" fontId="5" fillId="42" borderId="0" xfId="62" applyNumberFormat="1">
      <alignment vertical="top"/>
    </xf>
    <xf numFmtId="164" fontId="5" fillId="45" borderId="0" xfId="68" applyNumberFormat="1" applyFill="1">
      <alignment vertical="top"/>
    </xf>
    <xf numFmtId="9" fontId="5" fillId="9" borderId="0" xfId="68" applyNumberFormat="1">
      <alignment vertical="top"/>
    </xf>
    <xf numFmtId="3" fontId="5" fillId="45" borderId="0" xfId="68" applyNumberFormat="1" applyFill="1">
      <alignment vertical="top"/>
    </xf>
    <xf numFmtId="165" fontId="5" fillId="9" borderId="0" xfId="67" applyNumberFormat="1" applyFill="1">
      <alignment vertical="top"/>
    </xf>
    <xf numFmtId="166" fontId="5" fillId="45" borderId="0" xfId="67" applyNumberFormat="1">
      <alignment vertical="top"/>
    </xf>
    <xf numFmtId="0" fontId="26" fillId="0" borderId="0" xfId="66" applyFont="1" applyAlignment="1">
      <alignment vertical="top"/>
    </xf>
    <xf numFmtId="0" fontId="13" fillId="6" borderId="0" xfId="4" applyFont="1" applyFill="1" applyAlignment="1">
      <alignment vertical="top" wrapText="1"/>
    </xf>
    <xf numFmtId="10" fontId="5" fillId="45" borderId="0" xfId="64" applyFont="1" applyFill="1">
      <alignment vertical="top"/>
    </xf>
    <xf numFmtId="167" fontId="13" fillId="6" borderId="0" xfId="67" applyNumberFormat="1" applyFont="1" applyFill="1">
      <alignment vertical="top"/>
    </xf>
    <xf numFmtId="167" fontId="5" fillId="6" borderId="0" xfId="67" applyNumberFormat="1" applyFill="1">
      <alignment vertical="top"/>
    </xf>
    <xf numFmtId="49" fontId="10" fillId="17" borderId="1" xfId="6" applyFont="1">
      <alignment vertical="top"/>
    </xf>
    <xf numFmtId="0" fontId="13" fillId="42" borderId="0" xfId="62" applyNumberFormat="1" applyFont="1">
      <alignment vertical="top"/>
    </xf>
    <xf numFmtId="43" fontId="13" fillId="6" borderId="0" xfId="67" applyFont="1" applyFill="1">
      <alignment vertical="top"/>
    </xf>
    <xf numFmtId="43" fontId="5" fillId="6" borderId="0" xfId="67" applyFill="1">
      <alignment vertical="top"/>
    </xf>
    <xf numFmtId="43" fontId="13" fillId="0" borderId="0" xfId="4" applyNumberFormat="1" applyFont="1">
      <alignment vertical="top"/>
    </xf>
    <xf numFmtId="164" fontId="5" fillId="9" borderId="0" xfId="67" applyNumberFormat="1" applyFill="1">
      <alignment vertical="top"/>
    </xf>
    <xf numFmtId="0" fontId="6" fillId="42" borderId="0" xfId="62" applyNumberFormat="1" applyFont="1">
      <alignment vertical="top"/>
    </xf>
    <xf numFmtId="49" fontId="13" fillId="0" borderId="0" xfId="15" applyFont="1">
      <alignment vertical="top"/>
    </xf>
    <xf numFmtId="0" fontId="1" fillId="0" borderId="0" xfId="66" applyFont="1"/>
    <xf numFmtId="164" fontId="5" fillId="0" borderId="0" xfId="68" applyNumberFormat="1" applyFill="1">
      <alignment vertical="top"/>
    </xf>
    <xf numFmtId="168" fontId="5" fillId="45" borderId="0" xfId="67" applyNumberFormat="1">
      <alignment vertical="top"/>
    </xf>
    <xf numFmtId="49" fontId="20" fillId="0" borderId="2" xfId="61" applyBorder="1" applyAlignment="1">
      <alignment vertical="top"/>
    </xf>
    <xf numFmtId="164" fontId="5" fillId="42" borderId="0" xfId="62" applyNumberFormat="1">
      <alignment vertical="top"/>
    </xf>
    <xf numFmtId="164" fontId="13" fillId="42" borderId="0" xfId="62" applyNumberFormat="1" applyFont="1">
      <alignment vertical="top"/>
    </xf>
    <xf numFmtId="166" fontId="5" fillId="10" borderId="0" xfId="70" applyNumberFormat="1">
      <alignment vertical="top"/>
    </xf>
    <xf numFmtId="166" fontId="5" fillId="9" borderId="0" xfId="68" applyNumberFormat="1">
      <alignment vertical="top"/>
    </xf>
    <xf numFmtId="43" fontId="5" fillId="10" borderId="0" xfId="70">
      <alignment vertical="top"/>
    </xf>
    <xf numFmtId="169" fontId="5" fillId="0" borderId="0" xfId="4" quotePrefix="1" applyNumberFormat="1">
      <alignment vertical="top"/>
    </xf>
    <xf numFmtId="170" fontId="5" fillId="10" borderId="0" xfId="4" applyNumberFormat="1" applyFill="1">
      <alignment vertical="top"/>
    </xf>
    <xf numFmtId="2" fontId="5" fillId="10" borderId="0" xfId="4" applyNumberFormat="1" applyFill="1">
      <alignment vertical="top"/>
    </xf>
    <xf numFmtId="43" fontId="5" fillId="10" borderId="0" xfId="4" applyNumberFormat="1" applyFill="1">
      <alignment vertical="top"/>
    </xf>
    <xf numFmtId="43" fontId="5" fillId="42" borderId="0" xfId="62">
      <alignment vertical="top"/>
    </xf>
    <xf numFmtId="164" fontId="5" fillId="8" borderId="0" xfId="63" applyNumberFormat="1" applyFill="1">
      <alignment vertical="top"/>
    </xf>
    <xf numFmtId="164" fontId="5" fillId="6" borderId="0" xfId="68" applyNumberFormat="1" applyFill="1">
      <alignment vertical="top"/>
    </xf>
    <xf numFmtId="167" fontId="5" fillId="11" borderId="0" xfId="71" applyNumberFormat="1">
      <alignment vertical="top"/>
    </xf>
    <xf numFmtId="10" fontId="5" fillId="11" borderId="0" xfId="71" applyNumberFormat="1">
      <alignment vertical="top"/>
    </xf>
    <xf numFmtId="164" fontId="5" fillId="11" borderId="0" xfId="71" applyNumberFormat="1">
      <alignment vertical="top"/>
    </xf>
    <xf numFmtId="164" fontId="5" fillId="6" borderId="0" xfId="71" applyNumberFormat="1" applyFill="1">
      <alignment vertical="top"/>
    </xf>
    <xf numFmtId="164" fontId="5" fillId="9" borderId="0" xfId="71" applyNumberFormat="1" applyFill="1">
      <alignment vertical="top"/>
    </xf>
    <xf numFmtId="9" fontId="5" fillId="11" borderId="0" xfId="71" applyNumberFormat="1">
      <alignment vertical="top"/>
    </xf>
    <xf numFmtId="0" fontId="14" fillId="0" borderId="0" xfId="66"/>
    <xf numFmtId="171" fontId="14" fillId="0" borderId="0" xfId="66" applyNumberFormat="1"/>
    <xf numFmtId="43" fontId="5" fillId="9" borderId="0" xfId="72" applyFill="1">
      <alignment vertical="top"/>
    </xf>
    <xf numFmtId="43" fontId="5" fillId="11" borderId="0" xfId="71">
      <alignment vertical="top"/>
    </xf>
    <xf numFmtId="0" fontId="5" fillId="46" borderId="0" xfId="4" applyFill="1">
      <alignment vertical="top"/>
    </xf>
    <xf numFmtId="166" fontId="5" fillId="11" borderId="0" xfId="71" applyNumberFormat="1">
      <alignment vertical="top"/>
    </xf>
    <xf numFmtId="172" fontId="5" fillId="11" borderId="0" xfId="13" applyNumberFormat="1">
      <alignment vertical="top"/>
    </xf>
    <xf numFmtId="172" fontId="5" fillId="11" borderId="0" xfId="13" quotePrefix="1" applyNumberFormat="1">
      <alignment vertical="top"/>
    </xf>
    <xf numFmtId="10" fontId="5" fillId="11" borderId="0" xfId="13" applyNumberFormat="1">
      <alignment vertical="top"/>
    </xf>
    <xf numFmtId="173" fontId="5" fillId="11" borderId="0" xfId="13" applyNumberFormat="1">
      <alignment vertical="top"/>
    </xf>
    <xf numFmtId="173" fontId="5" fillId="10" borderId="0" xfId="8" applyNumberFormat="1">
      <alignment vertical="top"/>
    </xf>
    <xf numFmtId="10" fontId="5" fillId="0" borderId="0" xfId="4" applyNumberFormat="1">
      <alignment vertical="top"/>
    </xf>
    <xf numFmtId="43" fontId="5" fillId="42" borderId="0" xfId="62" applyNumberFormat="1">
      <alignment vertical="top"/>
    </xf>
    <xf numFmtId="164" fontId="5" fillId="45" borderId="0" xfId="63" applyNumberFormat="1" applyFill="1">
      <alignment vertical="top"/>
    </xf>
    <xf numFmtId="10" fontId="5" fillId="9" borderId="0" xfId="4" applyNumberFormat="1" applyFill="1">
      <alignment vertical="top"/>
    </xf>
    <xf numFmtId="49" fontId="5" fillId="0" borderId="0" xfId="15" applyFont="1">
      <alignment vertical="top"/>
    </xf>
    <xf numFmtId="164" fontId="5" fillId="0" borderId="0" xfId="71" applyNumberFormat="1" applyFill="1">
      <alignment vertical="top"/>
    </xf>
    <xf numFmtId="49" fontId="5" fillId="42" borderId="0" xfId="62" applyNumberFormat="1">
      <alignment vertical="top"/>
    </xf>
    <xf numFmtId="49" fontId="6" fillId="0" borderId="0" xfId="4" applyNumberFormat="1" applyFont="1">
      <alignment vertical="top"/>
    </xf>
    <xf numFmtId="0" fontId="5" fillId="0" borderId="0" xfId="62" applyNumberFormat="1" applyFill="1">
      <alignment vertical="top"/>
    </xf>
    <xf numFmtId="166" fontId="5" fillId="9" borderId="0" xfId="4" applyNumberFormat="1" applyFill="1">
      <alignment vertical="top"/>
    </xf>
    <xf numFmtId="164" fontId="5" fillId="9" borderId="0" xfId="63" applyNumberFormat="1" applyFill="1">
      <alignment vertical="top"/>
    </xf>
    <xf numFmtId="49" fontId="6" fillId="0" borderId="0" xfId="15" applyFont="1">
      <alignment vertical="top"/>
    </xf>
    <xf numFmtId="43" fontId="5" fillId="9" borderId="0" xfId="9" applyNumberFormat="1">
      <alignment vertical="top"/>
    </xf>
    <xf numFmtId="10" fontId="5" fillId="45" borderId="0" xfId="64" applyFill="1">
      <alignment vertical="top"/>
    </xf>
    <xf numFmtId="10" fontId="5" fillId="9" borderId="0" xfId="64" applyFill="1">
      <alignment vertical="top"/>
    </xf>
    <xf numFmtId="43" fontId="5" fillId="0" borderId="0" xfId="4" applyNumberFormat="1">
      <alignment vertical="top"/>
    </xf>
    <xf numFmtId="174" fontId="5" fillId="0" borderId="0" xfId="4" applyNumberFormat="1">
      <alignment vertical="top"/>
    </xf>
    <xf numFmtId="170" fontId="5" fillId="10" borderId="0" xfId="70" applyNumberFormat="1">
      <alignment vertical="top"/>
    </xf>
    <xf numFmtId="173" fontId="5" fillId="9" borderId="0" xfId="9" applyNumberFormat="1">
      <alignment vertical="top"/>
    </xf>
    <xf numFmtId="0" fontId="5" fillId="0" borderId="0" xfId="4" applyFont="1">
      <alignment vertical="top"/>
    </xf>
    <xf numFmtId="41" fontId="5" fillId="42" borderId="0" xfId="62" applyNumberFormat="1">
      <alignment vertical="top"/>
    </xf>
    <xf numFmtId="175" fontId="5" fillId="9" borderId="0" xfId="9" applyNumberFormat="1">
      <alignment vertical="top"/>
    </xf>
    <xf numFmtId="170" fontId="5" fillId="10" borderId="0" xfId="8" applyNumberFormat="1">
      <alignment vertical="top"/>
    </xf>
    <xf numFmtId="175" fontId="5" fillId="11" borderId="0" xfId="13" applyNumberFormat="1">
      <alignment vertical="top"/>
    </xf>
    <xf numFmtId="175" fontId="5" fillId="10" borderId="0" xfId="8" applyNumberFormat="1">
      <alignment vertical="top"/>
    </xf>
    <xf numFmtId="170" fontId="5" fillId="9" borderId="0" xfId="9" applyNumberFormat="1">
      <alignment vertical="top"/>
    </xf>
    <xf numFmtId="41" fontId="5" fillId="9" borderId="0" xfId="9" applyNumberFormat="1">
      <alignment vertical="top"/>
    </xf>
    <xf numFmtId="49" fontId="20" fillId="0" borderId="0" xfId="61" applyAlignment="1">
      <alignment vertical="top"/>
    </xf>
    <xf numFmtId="166" fontId="5" fillId="10" borderId="0" xfId="4" applyNumberFormat="1" applyFill="1">
      <alignment vertical="top"/>
    </xf>
    <xf numFmtId="41" fontId="5" fillId="11" borderId="0" xfId="13" applyNumberFormat="1">
      <alignment vertical="top"/>
    </xf>
    <xf numFmtId="175" fontId="5" fillId="42" borderId="0" xfId="62" applyNumberFormat="1">
      <alignment vertical="top"/>
    </xf>
    <xf numFmtId="170" fontId="1" fillId="12" borderId="0" xfId="66" applyNumberFormat="1" applyFont="1" applyFill="1"/>
    <xf numFmtId="0" fontId="1" fillId="0" borderId="5" xfId="66" applyFont="1" applyBorder="1"/>
    <xf numFmtId="0" fontId="1" fillId="0" borderId="6" xfId="66" applyFont="1" applyBorder="1"/>
    <xf numFmtId="0" fontId="1" fillId="0" borderId="7" xfId="66" applyFont="1" applyBorder="1"/>
    <xf numFmtId="49" fontId="6" fillId="17" borderId="3" xfId="6" applyBorder="1">
      <alignment vertical="top"/>
    </xf>
    <xf numFmtId="49" fontId="6" fillId="17" borderId="4" xfId="6" applyBorder="1">
      <alignment vertical="top"/>
    </xf>
    <xf numFmtId="0" fontId="1" fillId="0" borderId="17" xfId="66" applyFont="1" applyBorder="1"/>
    <xf numFmtId="0" fontId="1" fillId="0" borderId="18" xfId="66" applyFont="1" applyBorder="1"/>
    <xf numFmtId="43" fontId="1" fillId="12" borderId="0" xfId="66" applyNumberFormat="1" applyFont="1" applyFill="1"/>
    <xf numFmtId="43" fontId="5" fillId="12" borderId="0" xfId="4" applyNumberFormat="1" applyFill="1">
      <alignment vertical="top"/>
    </xf>
    <xf numFmtId="0" fontId="5" fillId="0" borderId="18" xfId="4" applyBorder="1">
      <alignment vertical="top"/>
    </xf>
    <xf numFmtId="0" fontId="5" fillId="0" borderId="17" xfId="4" applyBorder="1">
      <alignment vertical="top"/>
    </xf>
    <xf numFmtId="0" fontId="1" fillId="0" borderId="19" xfId="66" applyFont="1" applyBorder="1"/>
    <xf numFmtId="0" fontId="5" fillId="0" borderId="20" xfId="4" applyBorder="1">
      <alignment vertical="top"/>
    </xf>
    <xf numFmtId="0" fontId="5" fillId="0" borderId="21" xfId="4" applyBorder="1">
      <alignment vertical="top"/>
    </xf>
    <xf numFmtId="0" fontId="5" fillId="0" borderId="6" xfId="4" applyBorder="1">
      <alignment vertical="top"/>
    </xf>
    <xf numFmtId="0" fontId="5" fillId="0" borderId="7" xfId="4" applyBorder="1">
      <alignment vertical="top"/>
    </xf>
    <xf numFmtId="10" fontId="5" fillId="12" borderId="0" xfId="4" applyNumberFormat="1" applyFill="1">
      <alignment vertical="top"/>
    </xf>
    <xf numFmtId="0" fontId="5" fillId="0" borderId="0" xfId="4" applyAlignment="1">
      <alignment horizontal="center" vertical="center"/>
    </xf>
    <xf numFmtId="0" fontId="6" fillId="0" borderId="0" xfId="4" applyFont="1" applyAlignment="1">
      <alignment horizontal="center" vertical="center" wrapText="1"/>
    </xf>
    <xf numFmtId="164" fontId="5" fillId="12" borderId="0" xfId="63" applyNumberFormat="1" applyFont="1" applyFill="1" applyBorder="1">
      <alignment vertical="top"/>
    </xf>
    <xf numFmtId="164" fontId="1" fillId="0" borderId="0" xfId="66" applyNumberFormat="1" applyFont="1"/>
    <xf numFmtId="165" fontId="5" fillId="12" borderId="0" xfId="63" applyNumberFormat="1" applyFont="1" applyFill="1" applyBorder="1">
      <alignment vertical="top"/>
    </xf>
    <xf numFmtId="0" fontId="26" fillId="0" borderId="0" xfId="66" applyFont="1"/>
    <xf numFmtId="166" fontId="5" fillId="12" borderId="0" xfId="63" applyNumberFormat="1" applyFont="1" applyFill="1" applyBorder="1">
      <alignment vertical="top"/>
    </xf>
    <xf numFmtId="166" fontId="5" fillId="0" borderId="0" xfId="63" applyNumberFormat="1" applyFont="1" applyFill="1" applyBorder="1">
      <alignment vertical="top"/>
    </xf>
    <xf numFmtId="10" fontId="5" fillId="12" borderId="0" xfId="64" applyFont="1" applyFill="1" applyBorder="1">
      <alignment vertical="top"/>
    </xf>
    <xf numFmtId="0" fontId="1" fillId="0" borderId="20" xfId="66" applyFont="1" applyBorder="1"/>
    <xf numFmtId="0" fontId="1" fillId="0" borderId="21" xfId="66" applyFont="1" applyBorder="1"/>
    <xf numFmtId="166" fontId="5" fillId="12" borderId="0" xfId="4" applyNumberFormat="1" applyFill="1">
      <alignment vertical="top"/>
    </xf>
    <xf numFmtId="164" fontId="5" fillId="46" borderId="0" xfId="63" applyNumberFormat="1" applyFont="1" applyFill="1" applyBorder="1">
      <alignment vertical="top"/>
    </xf>
    <xf numFmtId="168" fontId="5" fillId="12" borderId="0" xfId="63" applyNumberFormat="1" applyFont="1" applyFill="1" applyBorder="1">
      <alignment vertical="top"/>
    </xf>
    <xf numFmtId="0" fontId="1" fillId="46" borderId="17" xfId="66" applyFont="1" applyFill="1" applyBorder="1"/>
    <xf numFmtId="168" fontId="5" fillId="46" borderId="0" xfId="63" applyNumberFormat="1" applyFont="1" applyFill="1" applyBorder="1">
      <alignment vertical="top"/>
    </xf>
    <xf numFmtId="0" fontId="1" fillId="46" borderId="0" xfId="66" applyFont="1" applyFill="1"/>
    <xf numFmtId="0" fontId="1" fillId="46" borderId="18" xfId="66" applyFont="1" applyFill="1" applyBorder="1"/>
    <xf numFmtId="14" fontId="5" fillId="44" borderId="0" xfId="11" applyNumberFormat="1">
      <alignment vertical="top"/>
    </xf>
    <xf numFmtId="10" fontId="5" fillId="44" borderId="0" xfId="64" applyFill="1">
      <alignment vertical="top"/>
    </xf>
    <xf numFmtId="167" fontId="5" fillId="44" borderId="0" xfId="11" applyNumberFormat="1">
      <alignment vertical="top"/>
    </xf>
    <xf numFmtId="43" fontId="5" fillId="12" borderId="0" xfId="63" applyNumberFormat="1" applyFont="1" applyFill="1" applyBorder="1">
      <alignment vertical="top"/>
    </xf>
    <xf numFmtId="0" fontId="5" fillId="0" borderId="0" xfId="4" applyAlignment="1">
      <alignment horizontal="left" vertical="top" wrapText="1"/>
    </xf>
    <xf numFmtId="0" fontId="7" fillId="0" borderId="0" xfId="4" applyFont="1" applyAlignment="1">
      <alignment horizontal="left" vertical="top" wrapText="1"/>
    </xf>
  </cellXfs>
  <cellStyles count="74">
    <cellStyle name="_kop1 Bladtitel" xfId="5" xr:uid="{00000000-0005-0000-0000-000000000000}"/>
    <cellStyle name="_kop2 Bloktitel" xfId="6" xr:uid="{00000000-0005-0000-0000-000001000000}"/>
    <cellStyle name="_kop2 Bloktitel 2" xfId="69" xr:uid="{C2CF9DFB-67CE-432D-A44A-58DF709AB70D}"/>
    <cellStyle name="_kop3 Subkop" xfId="7" xr:uid="{00000000-0005-0000-0000-000002000000}"/>
    <cellStyle name="20% - Accent1" xfId="37" builtinId="30" hidden="1"/>
    <cellStyle name="20% - Accent2" xfId="41" builtinId="34" hidden="1"/>
    <cellStyle name="20% - Accent3" xfId="45" builtinId="38" hidden="1"/>
    <cellStyle name="20% - Accent4" xfId="49" builtinId="42" hidden="1"/>
    <cellStyle name="20% - Accent5" xfId="53" builtinId="46" hidden="1"/>
    <cellStyle name="20% - Accent6" xfId="57" builtinId="50" hidden="1"/>
    <cellStyle name="40% - Accent1" xfId="38" builtinId="31" hidden="1"/>
    <cellStyle name="40% - Accent2" xfId="42" builtinId="35" hidden="1"/>
    <cellStyle name="40% - Accent3" xfId="46" builtinId="39" hidden="1"/>
    <cellStyle name="40% - Accent4" xfId="50" builtinId="43" hidden="1"/>
    <cellStyle name="40% - Accent5" xfId="54" builtinId="47" hidden="1"/>
    <cellStyle name="40% - Accent6" xfId="58" builtinId="51" hidden="1"/>
    <cellStyle name="60% - Accent1" xfId="39" builtinId="32" hidden="1"/>
    <cellStyle name="60% - Accent2" xfId="43" builtinId="36" hidden="1"/>
    <cellStyle name="60% - Accent3" xfId="47" builtinId="40" hidden="1"/>
    <cellStyle name="60% - Accent4" xfId="51" builtinId="44" hidden="1"/>
    <cellStyle name="60% - Accent5" xfId="55" builtinId="48" hidden="1"/>
    <cellStyle name="60% - Accent6" xfId="59" builtinId="52" hidden="1"/>
    <cellStyle name="Accent1" xfId="36" builtinId="29" hidden="1"/>
    <cellStyle name="Accent2" xfId="40" builtinId="33" hidden="1"/>
    <cellStyle name="Accent3" xfId="44" builtinId="37" hidden="1"/>
    <cellStyle name="Accent4" xfId="48" builtinId="41" hidden="1"/>
    <cellStyle name="Accent5" xfId="52" builtinId="45" hidden="1"/>
    <cellStyle name="Accent6" xfId="56" builtinId="49" hidden="1"/>
    <cellStyle name="Berekening" xfId="18" builtinId="22" hidden="1"/>
    <cellStyle name="Cel (tussen)resultaat" xfId="8" xr:uid="{00000000-0005-0000-0000-00001C000000}"/>
    <cellStyle name="Cel (tussen)resultaat 2" xfId="70" xr:uid="{E0A95D49-8B2C-45C8-B1FA-2B4C69C4FF02}"/>
    <cellStyle name="Cel Berekening" xfId="9" xr:uid="{00000000-0005-0000-0000-00001D000000}"/>
    <cellStyle name="Cel Berekening 2" xfId="68" xr:uid="{E8D6279D-181C-414F-83DA-34F868260BBF}"/>
    <cellStyle name="Cel Bijzonderheid" xfId="10" xr:uid="{00000000-0005-0000-0000-00001E000000}"/>
    <cellStyle name="Cel Bijzonderheid 2" xfId="72" xr:uid="{A4CA7F2A-3248-4CD2-9BC3-8BE650255680}"/>
    <cellStyle name="Cel Dataverzoek" xfId="65" xr:uid="{00000000-0005-0000-0000-00001F000000}"/>
    <cellStyle name="Cel Input" xfId="11" xr:uid="{00000000-0005-0000-0000-000020000000}"/>
    <cellStyle name="Cel Input 2" xfId="67" xr:uid="{BAD5CA1F-8FF7-44D1-8A92-C93D93D2C5B2}"/>
    <cellStyle name="Cel n.v.t. (leeg)" xfId="62" xr:uid="{00000000-0005-0000-0000-000021000000}"/>
    <cellStyle name="Cel PM extern" xfId="12" xr:uid="{00000000-0005-0000-0000-000022000000}"/>
    <cellStyle name="Cel Verwijzing" xfId="13" xr:uid="{00000000-0005-0000-0000-000023000000}"/>
    <cellStyle name="Cel Verwijzing 2" xfId="71" xr:uid="{F9DC1D35-3E39-4B82-B03F-783C38245E56}"/>
    <cellStyle name="Controlecel" xfId="20" builtinId="23" hidden="1"/>
    <cellStyle name="Gekoppelde cel" xfId="19" builtinId="24" hidden="1"/>
    <cellStyle name="Gevolgde hyperlink" xfId="60" builtinId="9" hidden="1"/>
    <cellStyle name="Goed" xfId="1" builtinId="26" hidden="1"/>
    <cellStyle name="Hyperlink" xfId="22" builtinId="8" hidden="1"/>
    <cellStyle name="Hyperlink" xfId="61" builtinId="8" customBuiltin="1"/>
    <cellStyle name="Invoer" xfId="16" builtinId="20" hidden="1"/>
    <cellStyle name="Komma" xfId="23" builtinId="3" hidden="1"/>
    <cellStyle name="Komma" xfId="63" builtinId="3"/>
    <cellStyle name="Komma [0]" xfId="24" builtinId="6" hidden="1"/>
    <cellStyle name="Kop 1" xfId="29" builtinId="16" hidden="1"/>
    <cellStyle name="Kop 2" xfId="30" builtinId="17" hidden="1"/>
    <cellStyle name="Kop 3" xfId="31" builtinId="18" hidden="1"/>
    <cellStyle name="Kop 4" xfId="32" builtinId="19" hidden="1"/>
    <cellStyle name="Neutraal" xfId="3" builtinId="28" hidden="1"/>
    <cellStyle name="Normal 2" xfId="73" xr:uid="{6CE87DB4-9069-4133-B6C6-4CDE07B7CA85}"/>
    <cellStyle name="Notitie" xfId="21" builtinId="10" hidden="1"/>
    <cellStyle name="Ongeldig" xfId="2" builtinId="27" hidden="1"/>
    <cellStyle name="Opm. INTERN" xfId="14" xr:uid="{00000000-0005-0000-0000-000035000000}"/>
    <cellStyle name="Procent" xfId="27" builtinId="5" hidden="1"/>
    <cellStyle name="Procent" xfId="64" builtinId="5"/>
    <cellStyle name="Standaard" xfId="0" builtinId="0" customBuiltin="1"/>
    <cellStyle name="Standaard 2" xfId="66" xr:uid="{0B7B1EE6-8892-4792-AD00-1F8E9DAC9B9E}"/>
    <cellStyle name="Standaard ACM-DE" xfId="4" xr:uid="{00000000-0005-0000-0000-000039000000}"/>
    <cellStyle name="Titel" xfId="28" builtinId="15" hidden="1"/>
    <cellStyle name="Toelichting" xfId="15" xr:uid="{00000000-0005-0000-0000-00003B000000}"/>
    <cellStyle name="Totaal" xfId="35" builtinId="25" hidden="1"/>
    <cellStyle name="Uitvoer" xfId="17" builtinId="21" hidden="1"/>
    <cellStyle name="Valuta" xfId="25" builtinId="4" hidden="1"/>
    <cellStyle name="Valuta [0]" xfId="26" builtinId="7" hidden="1"/>
    <cellStyle name="Verklarende tekst" xfId="34" builtinId="53" hidden="1"/>
    <cellStyle name="Waarschuwingstekst" xfId="33" builtinId="11" hidden="1"/>
  </cellStyles>
  <dxfs count="0"/>
  <tableStyles count="0" defaultTableStyle="TableStyleMedium2" defaultPivotStyle="PivotStyleLight16"/>
  <colors>
    <mruColors>
      <color rgb="FFE1FFE1"/>
      <color rgb="FF99FF99"/>
      <color rgb="FFFFFFCC"/>
      <color rgb="FFCCC8D9"/>
      <color rgb="FFCCFFCC"/>
      <color rgb="FFCCFFFF"/>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 Id="rId30"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66675</xdr:colOff>
      <xdr:row>3</xdr:row>
      <xdr:rowOff>133351</xdr:rowOff>
    </xdr:from>
    <xdr:to>
      <xdr:col>1</xdr:col>
      <xdr:colOff>1905000</xdr:colOff>
      <xdr:row>10</xdr:row>
      <xdr:rowOff>94480</xdr:rowOff>
    </xdr:to>
    <xdr:pic>
      <xdr:nvPicPr>
        <xdr:cNvPr id="2" name="Afbeelding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257175" y="685801"/>
          <a:ext cx="1838325" cy="1094604"/>
        </a:xfrm>
        <a:prstGeom prst="rect">
          <a:avLst/>
        </a:prstGeom>
      </xdr:spPr>
    </xdr:pic>
    <xdr:clientData/>
  </xdr:twoCellAnchor>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8" Type="http://schemas.openxmlformats.org/officeDocument/2006/relationships/hyperlink" Target="https://www.acm.nl/nl/publicaties/beschikking-variabel-tarief-elektriciteit-1-juli-2023-st-eustatius" TargetMode="External"/><Relationship Id="rId3" Type="http://schemas.openxmlformats.org/officeDocument/2006/relationships/hyperlink" Target="https://wetten.overheid.nl/BWBR0030649/2011-11-18" TargetMode="External"/><Relationship Id="rId7" Type="http://schemas.openxmlformats.org/officeDocument/2006/relationships/hyperlink" Target="https://www.acm.nl/nl/publicaties/methodebesluit-elektriciteit-en-drinkwater-caribisch-nederland-2020-2025" TargetMode="External"/><Relationship Id="rId2" Type="http://schemas.openxmlformats.org/officeDocument/2006/relationships/hyperlink" Target="https://www.cbs.nl/nl-nl/maatwerk/2021/45/cpi-caribisch-nederland-exclusief-covid-19-toeslagen" TargetMode="External"/><Relationship Id="rId1" Type="http://schemas.openxmlformats.org/officeDocument/2006/relationships/hyperlink" Target="https://opendata.cbs.nl/statline/" TargetMode="External"/><Relationship Id="rId6" Type="http://schemas.openxmlformats.org/officeDocument/2006/relationships/hyperlink" Target="https://www.acm.nl/nl/publicaties/wacc-elektriciteit-en-drinkwater-caribisch-nederland-2020-2022" TargetMode="External"/><Relationship Id="rId5" Type="http://schemas.openxmlformats.org/officeDocument/2006/relationships/hyperlink" Target="https://www.acm.nl/nl/publicaties/beschikking-productieprijs-elektriciteit-2022-sint-eustatius-stuco-caribisch-nederland" TargetMode="External"/><Relationship Id="rId10" Type="http://schemas.openxmlformats.org/officeDocument/2006/relationships/printerSettings" Target="../printerSettings/printerSettings3.bin"/><Relationship Id="rId4" Type="http://schemas.openxmlformats.org/officeDocument/2006/relationships/hyperlink" Target="https://www.acm.nl/nl/publicaties/wacc-elektriciteit-en-drinkwater-caribisch-nederland-2023-2025" TargetMode="External"/><Relationship Id="rId9" Type="http://schemas.openxmlformats.org/officeDocument/2006/relationships/hyperlink" Target="https://www.acm.nl/nl/publicaties/beschikking-variabel-tarief-elektriciteit-1-juli-2022-st-eustatius-caribisch-nederland"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CCC8D9"/>
  </sheetPr>
  <dimension ref="B2:E43"/>
  <sheetViews>
    <sheetView showGridLines="0" tabSelected="1" zoomScale="85" zoomScaleNormal="85" workbookViewId="0">
      <pane ySplit="3" topLeftCell="A4" activePane="bottomLeft" state="frozen"/>
      <selection activeCell="O39" sqref="O39"/>
      <selection pane="bottomLeft" activeCell="A4" sqref="A4"/>
    </sheetView>
  </sheetViews>
  <sheetFormatPr defaultColWidth="9.140625" defaultRowHeight="12.75" x14ac:dyDescent="0.2"/>
  <cols>
    <col min="1" max="1" width="4.7109375" style="2" customWidth="1"/>
    <col min="2" max="2" width="44.5703125" style="2" customWidth="1"/>
    <col min="3" max="3" width="91.85546875" style="2" customWidth="1"/>
    <col min="4" max="16384" width="9.140625" style="2"/>
  </cols>
  <sheetData>
    <row r="2" spans="2:5" s="7" customFormat="1" ht="18" x14ac:dyDescent="0.2">
      <c r="B2" s="7" t="s">
        <v>42</v>
      </c>
    </row>
    <row r="6" spans="2:5" x14ac:dyDescent="0.2">
      <c r="B6" s="3"/>
    </row>
    <row r="13" spans="2:5" s="8" customFormat="1" x14ac:dyDescent="0.2">
      <c r="B13" s="8" t="s">
        <v>3</v>
      </c>
    </row>
    <row r="15" spans="2:5" x14ac:dyDescent="0.2">
      <c r="B15" s="9" t="s">
        <v>4</v>
      </c>
      <c r="C15" s="9" t="s">
        <v>450</v>
      </c>
      <c r="E15" s="18"/>
    </row>
    <row r="16" spans="2:5" x14ac:dyDescent="0.2">
      <c r="B16" s="9" t="s">
        <v>5</v>
      </c>
      <c r="C16" s="9" t="s">
        <v>451</v>
      </c>
    </row>
    <row r="17" spans="2:3" x14ac:dyDescent="0.2">
      <c r="B17" s="9" t="s">
        <v>6</v>
      </c>
      <c r="C17" s="9"/>
    </row>
    <row r="18" spans="2:3" ht="51" x14ac:dyDescent="0.2">
      <c r="B18" s="9" t="s">
        <v>43</v>
      </c>
      <c r="C18" s="9" t="s">
        <v>452</v>
      </c>
    </row>
    <row r="19" spans="2:3" ht="51" x14ac:dyDescent="0.2">
      <c r="B19" s="9" t="s">
        <v>44</v>
      </c>
      <c r="C19" s="9" t="s">
        <v>731</v>
      </c>
    </row>
    <row r="20" spans="2:3" x14ac:dyDescent="0.2">
      <c r="B20" s="9" t="s">
        <v>58</v>
      </c>
      <c r="C20" s="9" t="s">
        <v>735</v>
      </c>
    </row>
    <row r="21" spans="2:3" x14ac:dyDescent="0.2">
      <c r="B21" s="9" t="s">
        <v>7</v>
      </c>
      <c r="C21" s="9"/>
    </row>
    <row r="23" spans="2:3" x14ac:dyDescent="0.2">
      <c r="B23" s="20" t="s">
        <v>64</v>
      </c>
    </row>
    <row r="25" spans="2:3" s="8" customFormat="1" x14ac:dyDescent="0.2">
      <c r="B25" s="8" t="s">
        <v>8</v>
      </c>
    </row>
    <row r="27" spans="2:3" x14ac:dyDescent="0.2">
      <c r="B27" s="9" t="s">
        <v>9</v>
      </c>
      <c r="C27" s="9" t="s">
        <v>736</v>
      </c>
    </row>
    <row r="28" spans="2:3" x14ac:dyDescent="0.2">
      <c r="B28" s="9" t="s">
        <v>62</v>
      </c>
      <c r="C28" s="9" t="s">
        <v>736</v>
      </c>
    </row>
    <row r="29" spans="2:3" ht="25.5" x14ac:dyDescent="0.2">
      <c r="B29" s="9" t="s">
        <v>10</v>
      </c>
      <c r="C29" s="9" t="s">
        <v>736</v>
      </c>
    </row>
    <row r="30" spans="2:3" ht="25.5" x14ac:dyDescent="0.2">
      <c r="B30" s="9" t="s">
        <v>63</v>
      </c>
      <c r="C30" s="9" t="s">
        <v>737</v>
      </c>
    </row>
    <row r="31" spans="2:3" x14ac:dyDescent="0.2">
      <c r="B31" s="9" t="s">
        <v>7</v>
      </c>
      <c r="C31" s="9"/>
    </row>
    <row r="33" spans="2:4" x14ac:dyDescent="0.2">
      <c r="B33" s="171" t="s">
        <v>46</v>
      </c>
      <c r="C33" s="172"/>
      <c r="D33" s="5"/>
    </row>
    <row r="34" spans="2:4" x14ac:dyDescent="0.2">
      <c r="B34" s="17"/>
      <c r="C34" s="17"/>
      <c r="D34" s="5"/>
    </row>
    <row r="36" spans="2:4" s="8" customFormat="1" x14ac:dyDescent="0.2">
      <c r="B36" s="8" t="s">
        <v>0</v>
      </c>
    </row>
    <row r="38" spans="2:4" x14ac:dyDescent="0.2">
      <c r="B38" s="2" t="s">
        <v>47</v>
      </c>
    </row>
    <row r="41" spans="2:4" x14ac:dyDescent="0.2">
      <c r="B41" s="4" t="s">
        <v>65</v>
      </c>
    </row>
    <row r="43" spans="2:4" x14ac:dyDescent="0.2">
      <c r="C43" s="28"/>
    </row>
  </sheetData>
  <mergeCells count="1">
    <mergeCell ref="B33:C33"/>
  </mergeCells>
  <pageMargins left="0.75" right="0.75" top="1" bottom="1" header="0.5" footer="0.5"/>
  <pageSetup paperSize="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6B260A-5F4E-4A5E-B633-80380D18E5CD}">
  <sheetPr>
    <tabColor rgb="FFE1FFE1"/>
  </sheetPr>
  <dimension ref="B2:T61"/>
  <sheetViews>
    <sheetView showGridLines="0" zoomScale="84" zoomScaleNormal="84" workbookViewId="0">
      <pane xSplit="6" ySplit="9" topLeftCell="G10" activePane="bottomRight" state="frozen"/>
      <selection activeCell="R6" sqref="R6"/>
      <selection pane="topRight" activeCell="R6" sqref="R6"/>
      <selection pane="bottomLeft" activeCell="R6" sqref="R6"/>
      <selection pane="bottomRight" activeCell="G10" sqref="G10"/>
    </sheetView>
  </sheetViews>
  <sheetFormatPr defaultColWidth="9.140625" defaultRowHeight="12.75" x14ac:dyDescent="0.2"/>
  <cols>
    <col min="1" max="1" width="4" style="2" customWidth="1"/>
    <col min="2" max="2" width="50.7109375" style="2" customWidth="1"/>
    <col min="3" max="5" width="4.5703125" style="2" customWidth="1"/>
    <col min="6" max="6" width="13.7109375" style="2" customWidth="1"/>
    <col min="7" max="7" width="2.7109375" style="2" customWidth="1"/>
    <col min="8" max="8" width="13.7109375" style="2" customWidth="1"/>
    <col min="9" max="9" width="2.7109375" style="2" customWidth="1"/>
    <col min="10" max="10" width="13.7109375" style="2" customWidth="1"/>
    <col min="11" max="11" width="2.7109375" style="2" customWidth="1"/>
    <col min="12" max="16" width="21.7109375" style="2" customWidth="1"/>
    <col min="17" max="17" width="2.7109375" style="2" customWidth="1"/>
    <col min="18" max="18" width="58.5703125" style="2" customWidth="1"/>
    <col min="19" max="19" width="2.7109375" style="2" customWidth="1"/>
    <col min="20" max="20" width="13.7109375" style="2" customWidth="1"/>
    <col min="21" max="21" width="2.7109375" style="2" customWidth="1"/>
    <col min="22" max="36" width="13.7109375" style="2" customWidth="1"/>
    <col min="37" max="16384" width="9.140625" style="2"/>
  </cols>
  <sheetData>
    <row r="2" spans="2:20" s="12" customFormat="1" ht="18" x14ac:dyDescent="0.2">
      <c r="B2" s="12" t="s">
        <v>204</v>
      </c>
    </row>
    <row r="4" spans="2:20" x14ac:dyDescent="0.2">
      <c r="B4" s="1" t="s">
        <v>102</v>
      </c>
      <c r="C4" s="1"/>
      <c r="D4" s="1"/>
    </row>
    <row r="5" spans="2:20" x14ac:dyDescent="0.2">
      <c r="B5" s="2" t="s">
        <v>558</v>
      </c>
      <c r="C5" s="3"/>
      <c r="D5" s="3"/>
      <c r="H5" s="13"/>
    </row>
    <row r="6" spans="2:20" x14ac:dyDescent="0.2">
      <c r="B6" s="2" t="s">
        <v>559</v>
      </c>
      <c r="C6" s="3"/>
      <c r="D6" s="3"/>
      <c r="H6" s="13"/>
    </row>
    <row r="8" spans="2:20" s="8" customFormat="1" x14ac:dyDescent="0.2">
      <c r="B8" s="8" t="s">
        <v>103</v>
      </c>
      <c r="F8" s="8" t="s">
        <v>104</v>
      </c>
      <c r="H8" s="8" t="s">
        <v>105</v>
      </c>
      <c r="J8" s="8" t="s">
        <v>106</v>
      </c>
      <c r="L8" s="8" t="s">
        <v>72</v>
      </c>
      <c r="M8" s="8" t="s">
        <v>73</v>
      </c>
      <c r="N8" s="8" t="s">
        <v>74</v>
      </c>
      <c r="O8" s="8" t="s">
        <v>75</v>
      </c>
      <c r="P8" s="8" t="s">
        <v>76</v>
      </c>
      <c r="R8" s="8" t="s">
        <v>40</v>
      </c>
      <c r="T8" s="8" t="s">
        <v>39</v>
      </c>
    </row>
    <row r="11" spans="2:20" s="8" customFormat="1" x14ac:dyDescent="0.2">
      <c r="B11" s="8" t="s">
        <v>465</v>
      </c>
    </row>
    <row r="12" spans="2:20" x14ac:dyDescent="0.2">
      <c r="L12" s="13"/>
      <c r="M12" s="13"/>
      <c r="N12" s="13"/>
      <c r="O12" s="13"/>
      <c r="P12" s="13"/>
      <c r="Q12" s="13"/>
    </row>
    <row r="13" spans="2:20" x14ac:dyDescent="0.2">
      <c r="B13" s="1" t="s">
        <v>208</v>
      </c>
      <c r="L13" s="13"/>
      <c r="M13" s="13"/>
      <c r="N13" s="13"/>
      <c r="O13" s="13"/>
      <c r="P13" s="13"/>
      <c r="Q13" s="13"/>
      <c r="R13" s="13"/>
    </row>
    <row r="14" spans="2:20" x14ac:dyDescent="0.2">
      <c r="B14" s="2" t="s">
        <v>561</v>
      </c>
      <c r="F14" s="2" t="s">
        <v>108</v>
      </c>
      <c r="J14" s="41">
        <f>SUM(L14:P14)</f>
        <v>405380.8600231274</v>
      </c>
      <c r="L14" s="42">
        <v>405380.8600231274</v>
      </c>
      <c r="M14" s="71"/>
      <c r="N14" s="72"/>
      <c r="O14" s="72"/>
      <c r="P14" s="72"/>
      <c r="Q14" s="13"/>
      <c r="R14" s="2" t="s">
        <v>210</v>
      </c>
    </row>
    <row r="15" spans="2:20" x14ac:dyDescent="0.2">
      <c r="B15" s="2" t="s">
        <v>430</v>
      </c>
      <c r="F15" s="2" t="s">
        <v>155</v>
      </c>
      <c r="J15" s="41">
        <f>SUM(L15:P15)</f>
        <v>-211260.54231172998</v>
      </c>
      <c r="L15" s="71"/>
      <c r="M15" s="42">
        <v>-211260.54231172998</v>
      </c>
      <c r="N15" s="72"/>
      <c r="O15" s="72"/>
      <c r="P15" s="72"/>
      <c r="Q15" s="13"/>
      <c r="R15" s="2" t="s">
        <v>211</v>
      </c>
    </row>
    <row r="17" spans="2:20" x14ac:dyDescent="0.2">
      <c r="B17" s="1" t="s">
        <v>212</v>
      </c>
    </row>
    <row r="18" spans="2:20" x14ac:dyDescent="0.2">
      <c r="B18" s="2" t="s">
        <v>213</v>
      </c>
      <c r="F18" s="2" t="s">
        <v>155</v>
      </c>
      <c r="J18" s="41">
        <f>SUM(L18:P18)</f>
        <v>266000.51429942914</v>
      </c>
      <c r="L18" s="42">
        <v>115799.73845607834</v>
      </c>
      <c r="M18" s="42">
        <v>57622.023824131815</v>
      </c>
      <c r="N18" s="42">
        <v>33866.56893080892</v>
      </c>
      <c r="O18" s="42">
        <v>57536.881810847204</v>
      </c>
      <c r="P18" s="42">
        <v>1175.3012775628376</v>
      </c>
      <c r="R18" s="2" t="s">
        <v>214</v>
      </c>
      <c r="T18" s="2" t="s">
        <v>557</v>
      </c>
    </row>
    <row r="20" spans="2:20" x14ac:dyDescent="0.2">
      <c r="B20" s="1" t="s">
        <v>534</v>
      </c>
      <c r="Q20" s="13"/>
      <c r="R20" s="13"/>
    </row>
    <row r="21" spans="2:20" x14ac:dyDescent="0.2">
      <c r="B21" s="119" t="s">
        <v>533</v>
      </c>
      <c r="F21" s="2" t="s">
        <v>108</v>
      </c>
      <c r="L21" s="35">
        <v>329217.37</v>
      </c>
      <c r="M21" s="48"/>
      <c r="N21" s="48"/>
      <c r="O21" s="48"/>
      <c r="P21" s="48"/>
      <c r="Q21" s="13"/>
      <c r="R21" s="119" t="s">
        <v>535</v>
      </c>
      <c r="T21" s="2" t="s">
        <v>569</v>
      </c>
    </row>
    <row r="23" spans="2:20" x14ac:dyDescent="0.2">
      <c r="B23" s="1" t="s">
        <v>352</v>
      </c>
    </row>
    <row r="24" spans="2:20" x14ac:dyDescent="0.2">
      <c r="B24" s="2" t="s">
        <v>352</v>
      </c>
      <c r="F24" s="2" t="s">
        <v>108</v>
      </c>
      <c r="L24" s="48"/>
      <c r="M24" s="35">
        <v>0</v>
      </c>
      <c r="N24" s="48"/>
      <c r="O24" s="35">
        <v>0</v>
      </c>
      <c r="P24" s="48"/>
      <c r="R24" s="2" t="s">
        <v>529</v>
      </c>
    </row>
    <row r="26" spans="2:20" s="8" customFormat="1" x14ac:dyDescent="0.2">
      <c r="B26" s="8" t="s">
        <v>491</v>
      </c>
    </row>
    <row r="28" spans="2:20" x14ac:dyDescent="0.2">
      <c r="B28" s="1" t="s">
        <v>492</v>
      </c>
    </row>
    <row r="29" spans="2:20" x14ac:dyDescent="0.2">
      <c r="B29" s="2" t="s">
        <v>340</v>
      </c>
      <c r="F29" s="2" t="s">
        <v>108</v>
      </c>
      <c r="J29" s="36">
        <f>SUM(L29:P29)</f>
        <v>4114196.1146405409</v>
      </c>
      <c r="L29" s="42">
        <v>1969520.7920966125</v>
      </c>
      <c r="M29" s="42">
        <v>764050.24085798801</v>
      </c>
      <c r="N29" s="42">
        <v>797188.08680193231</v>
      </c>
      <c r="O29" s="42">
        <v>571057.93076286872</v>
      </c>
      <c r="P29" s="42">
        <v>12379.064121139319</v>
      </c>
      <c r="R29" s="2" t="s">
        <v>341</v>
      </c>
    </row>
    <row r="30" spans="2:20" x14ac:dyDescent="0.2">
      <c r="B30" s="2" t="s">
        <v>342</v>
      </c>
      <c r="F30" s="2" t="s">
        <v>108</v>
      </c>
      <c r="J30" s="36">
        <f>SUM(L30:P30)</f>
        <v>127828.38424120485</v>
      </c>
      <c r="L30" s="101"/>
      <c r="M30" s="101"/>
      <c r="N30" s="101"/>
      <c r="O30" s="42">
        <v>127828.38424120485</v>
      </c>
      <c r="P30" s="101"/>
      <c r="R30" s="2" t="s">
        <v>343</v>
      </c>
    </row>
    <row r="31" spans="2:20" x14ac:dyDescent="0.2">
      <c r="B31" s="2" t="s">
        <v>344</v>
      </c>
      <c r="F31" s="2" t="s">
        <v>279</v>
      </c>
      <c r="J31" s="36">
        <f>SUM(L31:P31)</f>
        <v>293.90903066182125</v>
      </c>
      <c r="L31" s="35">
        <v>2.3154335450431548E-2</v>
      </c>
      <c r="M31" s="35">
        <v>25.798082112926469</v>
      </c>
      <c r="N31" s="35">
        <v>0.72336183329294312</v>
      </c>
      <c r="O31" s="35">
        <v>265.91124491419987</v>
      </c>
      <c r="P31" s="35">
        <v>1.4531874659515487</v>
      </c>
      <c r="R31" s="2" t="s">
        <v>345</v>
      </c>
    </row>
    <row r="32" spans="2:20" x14ac:dyDescent="0.2">
      <c r="B32" s="2" t="s">
        <v>346</v>
      </c>
      <c r="F32" s="2" t="s">
        <v>279</v>
      </c>
      <c r="J32" s="36">
        <f>SUM(L32:P32)</f>
        <v>576.27419043324039</v>
      </c>
      <c r="L32" s="101"/>
      <c r="M32" s="101"/>
      <c r="N32" s="101"/>
      <c r="O32" s="35">
        <v>576.27419043324039</v>
      </c>
      <c r="P32" s="101"/>
      <c r="R32" s="2" t="s">
        <v>347</v>
      </c>
    </row>
    <row r="34" spans="2:18" x14ac:dyDescent="0.2">
      <c r="B34" s="1" t="s">
        <v>366</v>
      </c>
    </row>
    <row r="35" spans="2:18" x14ac:dyDescent="0.2">
      <c r="B35" s="20" t="s">
        <v>36</v>
      </c>
      <c r="F35" s="20" t="s">
        <v>124</v>
      </c>
      <c r="L35" s="20" t="s">
        <v>125</v>
      </c>
      <c r="M35" s="20" t="s">
        <v>126</v>
      </c>
      <c r="N35" s="20" t="s">
        <v>127</v>
      </c>
      <c r="O35" s="20" t="s">
        <v>128</v>
      </c>
      <c r="P35" s="20" t="s">
        <v>127</v>
      </c>
      <c r="Q35" s="20"/>
      <c r="R35" s="20"/>
    </row>
    <row r="36" spans="2:18" x14ac:dyDescent="0.2">
      <c r="B36" s="2" t="s">
        <v>366</v>
      </c>
      <c r="F36" s="2" t="s">
        <v>124</v>
      </c>
      <c r="L36" s="42">
        <v>17919431.587000001</v>
      </c>
      <c r="M36" s="42">
        <v>18362.981033333333</v>
      </c>
      <c r="N36" s="42">
        <v>181361.1299297782</v>
      </c>
      <c r="O36" s="42">
        <v>1043.4687889299626</v>
      </c>
      <c r="P36" s="42">
        <v>3172.006162471821</v>
      </c>
      <c r="R36" s="2" t="s">
        <v>373</v>
      </c>
    </row>
    <row r="37" spans="2:18" x14ac:dyDescent="0.2">
      <c r="B37" s="2" t="s">
        <v>377</v>
      </c>
      <c r="F37" s="2" t="s">
        <v>124</v>
      </c>
      <c r="L37" s="48"/>
      <c r="M37" s="48"/>
      <c r="N37" s="48"/>
      <c r="O37" s="42">
        <v>896.33333333333337</v>
      </c>
      <c r="P37" s="48"/>
      <c r="R37" s="104" t="s">
        <v>373</v>
      </c>
    </row>
    <row r="39" spans="2:18" x14ac:dyDescent="0.2">
      <c r="B39" s="2" t="s">
        <v>367</v>
      </c>
      <c r="F39" s="2" t="s">
        <v>88</v>
      </c>
      <c r="L39" s="48"/>
      <c r="M39" s="38">
        <v>0.14000000000000001</v>
      </c>
      <c r="N39" s="48"/>
      <c r="O39" s="38">
        <v>0.1255</v>
      </c>
      <c r="P39" s="48"/>
      <c r="R39" s="2" t="s">
        <v>373</v>
      </c>
    </row>
    <row r="41" spans="2:18" x14ac:dyDescent="0.2">
      <c r="B41" s="1" t="s">
        <v>371</v>
      </c>
    </row>
    <row r="42" spans="2:18" x14ac:dyDescent="0.2">
      <c r="B42" s="2" t="s">
        <v>368</v>
      </c>
      <c r="F42" s="2" t="s">
        <v>369</v>
      </c>
      <c r="L42" s="53">
        <v>0.29422474662865467</v>
      </c>
      <c r="M42" s="48"/>
      <c r="N42" s="48"/>
      <c r="O42" s="48"/>
      <c r="P42" s="48"/>
      <c r="R42" s="2" t="s">
        <v>374</v>
      </c>
    </row>
    <row r="43" spans="2:18" x14ac:dyDescent="0.2">
      <c r="B43" s="2" t="s">
        <v>370</v>
      </c>
      <c r="F43" s="2" t="s">
        <v>369</v>
      </c>
      <c r="L43" s="53">
        <v>0.36197645114248977</v>
      </c>
      <c r="M43" s="48"/>
      <c r="N43" s="48"/>
      <c r="O43" s="48"/>
      <c r="P43" s="48"/>
      <c r="R43" s="2" t="s">
        <v>375</v>
      </c>
    </row>
    <row r="44" spans="2:18" x14ac:dyDescent="0.2">
      <c r="B44" s="2" t="s">
        <v>371</v>
      </c>
      <c r="F44" s="2" t="s">
        <v>372</v>
      </c>
      <c r="L44" s="48"/>
      <c r="M44" s="48"/>
      <c r="N44" s="53">
        <v>7.191572933731611</v>
      </c>
      <c r="O44" s="48"/>
      <c r="P44" s="48"/>
      <c r="R44" s="2" t="s">
        <v>376</v>
      </c>
    </row>
    <row r="46" spans="2:18" s="8" customFormat="1" x14ac:dyDescent="0.2">
      <c r="B46" s="8" t="s">
        <v>470</v>
      </c>
    </row>
    <row r="48" spans="2:18" x14ac:dyDescent="0.2">
      <c r="B48" s="2" t="s">
        <v>355</v>
      </c>
      <c r="F48" s="2" t="s">
        <v>127</v>
      </c>
      <c r="L48" s="10"/>
      <c r="M48" s="10"/>
      <c r="N48" s="35">
        <v>187300</v>
      </c>
      <c r="O48" s="10"/>
      <c r="P48" s="10"/>
      <c r="R48" s="2" t="s">
        <v>356</v>
      </c>
    </row>
    <row r="49" spans="2:18" x14ac:dyDescent="0.2">
      <c r="B49" s="2" t="s">
        <v>357</v>
      </c>
      <c r="F49" s="2" t="s">
        <v>358</v>
      </c>
      <c r="L49" s="10"/>
      <c r="M49" s="10"/>
      <c r="N49" s="35">
        <v>0.50186477676694452</v>
      </c>
      <c r="O49" s="10"/>
      <c r="P49" s="10"/>
      <c r="R49" s="2" t="s">
        <v>359</v>
      </c>
    </row>
    <row r="50" spans="2:18" x14ac:dyDescent="0.2">
      <c r="B50" s="2" t="s">
        <v>360</v>
      </c>
      <c r="F50" s="2" t="s">
        <v>358</v>
      </c>
      <c r="L50" s="10"/>
      <c r="M50" s="10"/>
      <c r="N50" s="35">
        <v>0.37139101036130612</v>
      </c>
      <c r="O50" s="10"/>
      <c r="P50" s="10"/>
      <c r="R50" s="2" t="s">
        <v>361</v>
      </c>
    </row>
    <row r="51" spans="2:18" x14ac:dyDescent="0.2">
      <c r="B51" s="2" t="s">
        <v>148</v>
      </c>
      <c r="F51" s="2" t="s">
        <v>149</v>
      </c>
      <c r="L51" s="10"/>
      <c r="M51" s="10"/>
      <c r="N51" s="35">
        <v>3.4550162121682879</v>
      </c>
      <c r="O51" s="10"/>
      <c r="P51" s="10"/>
      <c r="R51" s="2" t="s">
        <v>363</v>
      </c>
    </row>
    <row r="52" spans="2:18" x14ac:dyDescent="0.2">
      <c r="B52" s="2" t="s">
        <v>364</v>
      </c>
      <c r="F52" s="2" t="s">
        <v>88</v>
      </c>
      <c r="L52" s="10"/>
      <c r="M52" s="10"/>
      <c r="N52" s="35">
        <v>0.5</v>
      </c>
      <c r="O52" s="10"/>
      <c r="P52" s="10"/>
      <c r="R52" s="2" t="s">
        <v>365</v>
      </c>
    </row>
    <row r="53" spans="2:18" x14ac:dyDescent="0.2">
      <c r="N53" s="22"/>
      <c r="R53" s="13"/>
    </row>
    <row r="54" spans="2:18" s="8" customFormat="1" x14ac:dyDescent="0.2">
      <c r="B54" s="8" t="s">
        <v>471</v>
      </c>
    </row>
    <row r="56" spans="2:18" x14ac:dyDescent="0.2">
      <c r="B56" s="2" t="s">
        <v>472</v>
      </c>
      <c r="F56" s="2" t="s">
        <v>163</v>
      </c>
      <c r="L56" s="10"/>
      <c r="M56" s="10"/>
      <c r="N56" s="10"/>
      <c r="O56" s="42">
        <v>518</v>
      </c>
      <c r="P56" s="10"/>
      <c r="R56" s="119" t="s">
        <v>121</v>
      </c>
    </row>
    <row r="57" spans="2:18" x14ac:dyDescent="0.2">
      <c r="B57" s="2" t="s">
        <v>473</v>
      </c>
      <c r="F57" s="2" t="s">
        <v>114</v>
      </c>
      <c r="L57" s="10"/>
      <c r="M57" s="10"/>
      <c r="N57" s="10"/>
      <c r="O57" s="42">
        <v>307847</v>
      </c>
      <c r="P57" s="10"/>
      <c r="R57" s="119" t="s">
        <v>121</v>
      </c>
    </row>
    <row r="58" spans="2:18" x14ac:dyDescent="0.2">
      <c r="B58" s="2" t="s">
        <v>474</v>
      </c>
      <c r="F58" s="2" t="s">
        <v>114</v>
      </c>
      <c r="L58" s="10"/>
      <c r="M58" s="10"/>
      <c r="N58" s="10"/>
      <c r="O58" s="42">
        <v>24424</v>
      </c>
      <c r="P58" s="10"/>
      <c r="R58" s="119" t="s">
        <v>121</v>
      </c>
    </row>
    <row r="61" spans="2:18" x14ac:dyDescent="0.2">
      <c r="B61" s="4" t="s">
        <v>65</v>
      </c>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0" tint="-4.9989318521683403E-2"/>
  </sheetPr>
  <dimension ref="B2:B3"/>
  <sheetViews>
    <sheetView showGridLines="0" zoomScale="85" zoomScaleNormal="85" workbookViewId="0"/>
  </sheetViews>
  <sheetFormatPr defaultColWidth="9.140625" defaultRowHeight="12.75" x14ac:dyDescent="0.2"/>
  <cols>
    <col min="1" max="16384" width="9.140625" style="14"/>
  </cols>
  <sheetData>
    <row r="2" spans="2:2" x14ac:dyDescent="0.2">
      <c r="B2" s="33" t="s">
        <v>203</v>
      </c>
    </row>
    <row r="3" spans="2:2" x14ac:dyDescent="0.2">
      <c r="B3" s="33"/>
    </row>
  </sheetData>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42FAAF-E534-4559-AB39-5CF0F422597A}">
  <sheetPr>
    <tabColor rgb="FFFFFFCC"/>
  </sheetPr>
  <dimension ref="A2:R30"/>
  <sheetViews>
    <sheetView showGridLines="0" zoomScale="85" zoomScaleNormal="85" workbookViewId="0">
      <pane xSplit="6" ySplit="8" topLeftCell="G9" activePane="bottomRight" state="frozen"/>
      <selection activeCell="L52" sqref="L52"/>
      <selection pane="topRight" activeCell="L52" sqref="L52"/>
      <selection pane="bottomLeft" activeCell="L52" sqref="L52"/>
      <selection pane="bottomRight" activeCell="G9" sqref="G9"/>
    </sheetView>
  </sheetViews>
  <sheetFormatPr defaultColWidth="9.140625" defaultRowHeight="12.75" x14ac:dyDescent="0.2"/>
  <cols>
    <col min="1" max="1" width="4.5703125" style="2" customWidth="1"/>
    <col min="2" max="2" width="64.28515625" style="2" customWidth="1"/>
    <col min="3" max="5" width="4.5703125" style="2" customWidth="1"/>
    <col min="6" max="6" width="15.42578125" style="2" customWidth="1"/>
    <col min="7" max="7" width="2.7109375" style="2" customWidth="1"/>
    <col min="8" max="8" width="13.7109375" style="2" customWidth="1"/>
    <col min="9" max="9" width="2.7109375" style="2" customWidth="1"/>
    <col min="10" max="10" width="13.7109375" style="2" customWidth="1"/>
    <col min="11" max="11" width="2.7109375" style="2" customWidth="1"/>
    <col min="12" max="16" width="21.7109375" style="2" customWidth="1"/>
    <col min="17" max="17" width="2.7109375" style="2" customWidth="1"/>
    <col min="18" max="18" width="30.7109375" style="2" customWidth="1"/>
    <col min="19" max="19" width="2.7109375" style="2" customWidth="1"/>
    <col min="20" max="29" width="12.5703125" style="2" customWidth="1"/>
    <col min="30" max="32" width="2.7109375" style="2" customWidth="1"/>
    <col min="33" max="47" width="13.7109375" style="2" customWidth="1"/>
    <col min="48" max="16384" width="9.140625" style="2"/>
  </cols>
  <sheetData>
    <row r="2" spans="1:18" s="12" customFormat="1" ht="18" x14ac:dyDescent="0.2">
      <c r="B2" s="12" t="s">
        <v>378</v>
      </c>
    </row>
    <row r="4" spans="1:18" x14ac:dyDescent="0.2">
      <c r="B4" s="19" t="s">
        <v>379</v>
      </c>
      <c r="C4" s="1"/>
      <c r="D4" s="1"/>
    </row>
    <row r="5" spans="1:18" x14ac:dyDescent="0.2">
      <c r="B5" s="2" t="s">
        <v>380</v>
      </c>
      <c r="C5" s="3"/>
      <c r="D5" s="3"/>
      <c r="H5" s="13"/>
    </row>
    <row r="7" spans="1:18" s="8" customFormat="1" ht="12.75" customHeight="1" x14ac:dyDescent="0.2">
      <c r="B7" s="8" t="s">
        <v>103</v>
      </c>
      <c r="F7" s="8" t="s">
        <v>104</v>
      </c>
      <c r="H7" s="8" t="s">
        <v>37</v>
      </c>
      <c r="J7" s="8" t="s">
        <v>38</v>
      </c>
      <c r="L7" s="8" t="s">
        <v>257</v>
      </c>
      <c r="M7" s="8" t="s">
        <v>73</v>
      </c>
      <c r="N7" s="8" t="s">
        <v>74</v>
      </c>
      <c r="O7" s="8" t="s">
        <v>75</v>
      </c>
      <c r="P7" s="8" t="s">
        <v>76</v>
      </c>
      <c r="R7" s="8" t="s">
        <v>39</v>
      </c>
    </row>
    <row r="10" spans="1:18" s="8" customFormat="1" x14ac:dyDescent="0.2">
      <c r="B10" s="8" t="s">
        <v>381</v>
      </c>
    </row>
    <row r="11" spans="1:18" x14ac:dyDescent="0.2">
      <c r="H11"/>
      <c r="I11"/>
      <c r="J11"/>
      <c r="K11"/>
    </row>
    <row r="12" spans="1:18" x14ac:dyDescent="0.2">
      <c r="B12" s="19" t="s">
        <v>382</v>
      </c>
      <c r="K12"/>
      <c r="L12"/>
      <c r="M12"/>
      <c r="N12"/>
    </row>
    <row r="13" spans="1:18" x14ac:dyDescent="0.2">
      <c r="B13" s="2" t="s">
        <v>383</v>
      </c>
      <c r="F13" s="2" t="s">
        <v>108</v>
      </c>
      <c r="J13" s="27">
        <f>SUM(L13:P13)</f>
        <v>4114196.1146405409</v>
      </c>
      <c r="L13" s="85">
        <f>'Data on corrections'!L29</f>
        <v>1969520.7920966125</v>
      </c>
      <c r="M13" s="85">
        <f>'Data on corrections'!M29</f>
        <v>764050.24085798801</v>
      </c>
      <c r="N13" s="85">
        <f>'Data on corrections'!N29</f>
        <v>797188.08680193231</v>
      </c>
      <c r="O13" s="85">
        <f>'Data on corrections'!O29</f>
        <v>571057.93076286872</v>
      </c>
      <c r="P13" s="85">
        <f>'Data on corrections'!P29</f>
        <v>12379.064121139319</v>
      </c>
    </row>
    <row r="14" spans="1:18" x14ac:dyDescent="0.2">
      <c r="M14"/>
      <c r="O14"/>
      <c r="P14"/>
    </row>
    <row r="15" spans="1:18" x14ac:dyDescent="0.2">
      <c r="B15" s="1" t="s">
        <v>261</v>
      </c>
    </row>
    <row r="16" spans="1:18" s="20" customFormat="1" x14ac:dyDescent="0.2">
      <c r="A16" s="2"/>
      <c r="B16" s="20" t="s">
        <v>36</v>
      </c>
      <c r="F16" s="20" t="s">
        <v>124</v>
      </c>
      <c r="L16" s="20" t="s">
        <v>125</v>
      </c>
      <c r="M16" s="20" t="s">
        <v>126</v>
      </c>
      <c r="N16" s="20" t="s">
        <v>127</v>
      </c>
      <c r="O16" s="20" t="s">
        <v>128</v>
      </c>
      <c r="P16" s="20" t="s">
        <v>127</v>
      </c>
    </row>
    <row r="17" spans="2:18" x14ac:dyDescent="0.2">
      <c r="B17" s="2" t="s">
        <v>366</v>
      </c>
      <c r="F17" s="2" t="s">
        <v>124</v>
      </c>
      <c r="J17" s="27">
        <f>SUM(L17:P17)</f>
        <v>18123371.172914512</v>
      </c>
      <c r="L17" s="85">
        <f>'Data on corrections'!L36</f>
        <v>17919431.587000001</v>
      </c>
      <c r="M17" s="85">
        <f>'Data on corrections'!M36</f>
        <v>18362.981033333333</v>
      </c>
      <c r="N17" s="85">
        <f>'Data on corrections'!N36</f>
        <v>181361.1299297782</v>
      </c>
      <c r="O17" s="85">
        <f>'Data on corrections'!O36</f>
        <v>1043.4687889299626</v>
      </c>
      <c r="P17" s="85">
        <f>'Data on corrections'!P36</f>
        <v>3172.006162471821</v>
      </c>
    </row>
    <row r="18" spans="2:18" x14ac:dyDescent="0.2">
      <c r="B18" s="2" t="s">
        <v>129</v>
      </c>
      <c r="F18" s="2" t="s">
        <v>124</v>
      </c>
      <c r="J18" s="27">
        <f>SUM(L18:P18)</f>
        <v>16541866.146666665</v>
      </c>
      <c r="L18" s="85">
        <f>'Historical data'!L37</f>
        <v>16328808</v>
      </c>
      <c r="M18" s="85">
        <f>'Historical data'!M37</f>
        <v>18218.78</v>
      </c>
      <c r="N18" s="85">
        <f>'Historical data'!N37</f>
        <v>187656</v>
      </c>
      <c r="O18" s="85">
        <f>'Historical data'!O37</f>
        <v>1036.1666666666667</v>
      </c>
      <c r="P18" s="85">
        <f>'Historical data'!P37</f>
        <v>6147.1999999999989</v>
      </c>
    </row>
    <row r="19" spans="2:18" x14ac:dyDescent="0.2">
      <c r="M19"/>
      <c r="O19"/>
      <c r="P19"/>
    </row>
    <row r="20" spans="2:18" x14ac:dyDescent="0.2">
      <c r="B20" s="2" t="s">
        <v>384</v>
      </c>
      <c r="F20" s="2" t="s">
        <v>108</v>
      </c>
      <c r="L20" s="48"/>
      <c r="M20" s="85">
        <f>'Data on corrections'!M24</f>
        <v>0</v>
      </c>
      <c r="N20" s="48"/>
      <c r="O20" s="85">
        <f>'Data on corrections'!O24</f>
        <v>0</v>
      </c>
      <c r="P20" s="48"/>
    </row>
    <row r="21" spans="2:18" x14ac:dyDescent="0.2">
      <c r="M21"/>
      <c r="O21"/>
      <c r="P21"/>
    </row>
    <row r="22" spans="2:18" s="8" customFormat="1" x14ac:dyDescent="0.2">
      <c r="B22" s="8" t="s">
        <v>385</v>
      </c>
    </row>
    <row r="23" spans="2:18" x14ac:dyDescent="0.2">
      <c r="M23"/>
      <c r="O23"/>
      <c r="P23"/>
    </row>
    <row r="24" spans="2:18" x14ac:dyDescent="0.2">
      <c r="B24" s="19" t="s">
        <v>386</v>
      </c>
      <c r="M24"/>
      <c r="O24"/>
      <c r="P24"/>
    </row>
    <row r="25" spans="2:18" x14ac:dyDescent="0.2">
      <c r="B25" s="2" t="s">
        <v>387</v>
      </c>
      <c r="F25" s="2" t="s">
        <v>108</v>
      </c>
      <c r="J25" s="27">
        <f>SUM(L25:P25)</f>
        <v>3968655.4739798489</v>
      </c>
      <c r="L25" s="41">
        <f>L13/L17*L18</f>
        <v>1794695.7028193097</v>
      </c>
      <c r="M25" s="41">
        <f>M13/M17*M18</f>
        <v>758050.29814442166</v>
      </c>
      <c r="N25" s="41">
        <f>N13/N17*N18</f>
        <v>824857.71716809669</v>
      </c>
      <c r="O25" s="41">
        <f>O13/O17*O18</f>
        <v>567061.70694276644</v>
      </c>
      <c r="P25" s="41">
        <f>P13/P17*P18</f>
        <v>23990.048905254491</v>
      </c>
    </row>
    <row r="26" spans="2:18" x14ac:dyDescent="0.2">
      <c r="B26" s="32" t="s">
        <v>388</v>
      </c>
      <c r="F26" s="2" t="s">
        <v>108</v>
      </c>
      <c r="J26" s="27">
        <f>SUM(L26:P26)</f>
        <v>145540.64066069195</v>
      </c>
      <c r="L26" s="21">
        <f>L13-L25</f>
        <v>174825.08927730285</v>
      </c>
      <c r="M26" s="23">
        <f>M13-M25+M20</f>
        <v>5999.9427135663573</v>
      </c>
      <c r="N26" s="21">
        <f>N13-N25</f>
        <v>-27669.630366164376</v>
      </c>
      <c r="O26" s="23">
        <f>O13-O25+O20</f>
        <v>3996.2238201022847</v>
      </c>
      <c r="P26" s="21">
        <f>P13-P25</f>
        <v>-11610.984784115171</v>
      </c>
      <c r="R26" s="2" t="s">
        <v>431</v>
      </c>
    </row>
    <row r="27" spans="2:18" x14ac:dyDescent="0.2">
      <c r="M27"/>
      <c r="N27"/>
      <c r="O27"/>
      <c r="P27"/>
    </row>
    <row r="30" spans="2:18" x14ac:dyDescent="0.2">
      <c r="B30" s="4" t="s">
        <v>65</v>
      </c>
    </row>
  </sheetData>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FFCC"/>
  </sheetPr>
  <dimension ref="A2:R70"/>
  <sheetViews>
    <sheetView showGridLines="0" zoomScale="85" zoomScaleNormal="85" workbookViewId="0">
      <pane xSplit="6" ySplit="8" topLeftCell="G9" activePane="bottomRight" state="frozen"/>
      <selection activeCell="L52" sqref="L52"/>
      <selection pane="topRight" activeCell="L52" sqref="L52"/>
      <selection pane="bottomLeft" activeCell="L52" sqref="L52"/>
      <selection pane="bottomRight" activeCell="G9" sqref="G9"/>
    </sheetView>
  </sheetViews>
  <sheetFormatPr defaultColWidth="9.140625" defaultRowHeight="12.75" x14ac:dyDescent="0.2"/>
  <cols>
    <col min="1" max="1" width="4.5703125" style="2" customWidth="1"/>
    <col min="2" max="2" width="64.28515625" style="2" customWidth="1"/>
    <col min="3" max="5" width="4.5703125" style="2" customWidth="1"/>
    <col min="6" max="6" width="15.42578125" style="2" customWidth="1"/>
    <col min="7" max="7" width="2.7109375" style="2" customWidth="1"/>
    <col min="8" max="8" width="13.7109375" style="2" customWidth="1"/>
    <col min="9" max="9" width="2.7109375" style="2" customWidth="1"/>
    <col min="10" max="10" width="13.7109375" style="2" customWidth="1"/>
    <col min="11" max="11" width="2.7109375" style="2" customWidth="1"/>
    <col min="12" max="16" width="21.7109375" style="2" customWidth="1"/>
    <col min="17" max="17" width="2.7109375" style="2" customWidth="1"/>
    <col min="18" max="18" width="30.7109375" style="2" customWidth="1"/>
    <col min="19" max="19" width="2.7109375" style="2" customWidth="1"/>
    <col min="20" max="29" width="12.5703125" style="2" customWidth="1"/>
    <col min="30" max="32" width="2.7109375" style="2" customWidth="1"/>
    <col min="33" max="47" width="13.7109375" style="2" customWidth="1"/>
    <col min="48" max="16384" width="9.140625" style="2"/>
  </cols>
  <sheetData>
    <row r="2" spans="2:18" s="12" customFormat="1" ht="18" x14ac:dyDescent="0.2">
      <c r="B2" s="12" t="s">
        <v>437</v>
      </c>
    </row>
    <row r="4" spans="2:18" x14ac:dyDescent="0.2">
      <c r="B4" s="19" t="s">
        <v>379</v>
      </c>
      <c r="C4" s="1"/>
      <c r="D4" s="1"/>
    </row>
    <row r="5" spans="2:18" x14ac:dyDescent="0.2">
      <c r="B5" s="2" t="s">
        <v>438</v>
      </c>
      <c r="C5" s="3"/>
      <c r="D5" s="3"/>
      <c r="H5" s="13"/>
    </row>
    <row r="7" spans="2:18" s="8" customFormat="1" ht="12.75" customHeight="1" x14ac:dyDescent="0.2">
      <c r="B7" s="8" t="s">
        <v>103</v>
      </c>
      <c r="F7" s="8" t="s">
        <v>104</v>
      </c>
      <c r="H7" s="8" t="s">
        <v>37</v>
      </c>
      <c r="J7" s="8" t="s">
        <v>38</v>
      </c>
      <c r="L7" s="8" t="s">
        <v>257</v>
      </c>
      <c r="M7" s="8" t="s">
        <v>73</v>
      </c>
      <c r="N7" s="8" t="s">
        <v>74</v>
      </c>
      <c r="O7" s="8" t="s">
        <v>75</v>
      </c>
      <c r="P7" s="8" t="s">
        <v>76</v>
      </c>
      <c r="R7" s="8" t="s">
        <v>39</v>
      </c>
    </row>
    <row r="10" spans="2:18" s="8" customFormat="1" x14ac:dyDescent="0.2">
      <c r="B10" s="8" t="s">
        <v>389</v>
      </c>
    </row>
    <row r="11" spans="2:18" x14ac:dyDescent="0.2">
      <c r="B11" s="19"/>
    </row>
    <row r="12" spans="2:18" x14ac:dyDescent="0.2">
      <c r="B12" s="19" t="s">
        <v>67</v>
      </c>
    </row>
    <row r="13" spans="2:18" x14ac:dyDescent="0.2">
      <c r="B13" s="2" t="s">
        <v>336</v>
      </c>
      <c r="F13" s="2" t="s">
        <v>88</v>
      </c>
      <c r="H13" s="84">
        <f>Parameters!H39</f>
        <v>5.9700000000000003E-2</v>
      </c>
    </row>
    <row r="14" spans="2:18" x14ac:dyDescent="0.2">
      <c r="B14" s="2" t="s">
        <v>339</v>
      </c>
      <c r="F14" s="2" t="s">
        <v>88</v>
      </c>
      <c r="H14" s="88">
        <f>Parameters!H46</f>
        <v>0.5</v>
      </c>
    </row>
    <row r="15" spans="2:18" x14ac:dyDescent="0.2">
      <c r="B15" s="2" t="s">
        <v>350</v>
      </c>
      <c r="F15" s="2" t="s">
        <v>88</v>
      </c>
      <c r="H15" s="84">
        <f>'Historical data'!P50</f>
        <v>3.2054342372382902E-2</v>
      </c>
    </row>
    <row r="17" spans="2:16" x14ac:dyDescent="0.2">
      <c r="B17" s="19" t="s">
        <v>390</v>
      </c>
    </row>
    <row r="18" spans="2:16" x14ac:dyDescent="0.2">
      <c r="B18" s="2" t="s">
        <v>391</v>
      </c>
      <c r="F18" s="2" t="s">
        <v>279</v>
      </c>
      <c r="J18" s="27">
        <f>SUM(L18:P18)</f>
        <v>4114196.1146405409</v>
      </c>
      <c r="L18" s="26">
        <f>'Data on corrections'!L29</f>
        <v>1969520.7920966125</v>
      </c>
      <c r="M18" s="26">
        <f>'Data on corrections'!M29</f>
        <v>764050.24085798801</v>
      </c>
      <c r="N18" s="26">
        <f>'Data on corrections'!N29</f>
        <v>797188.08680193231</v>
      </c>
      <c r="O18" s="26">
        <f>'Data on corrections'!O29</f>
        <v>571057.93076286872</v>
      </c>
      <c r="P18" s="26">
        <f>'Data on corrections'!P29</f>
        <v>12379.064121139319</v>
      </c>
    </row>
    <row r="19" spans="2:16" x14ac:dyDescent="0.2">
      <c r="B19" s="2" t="s">
        <v>342</v>
      </c>
      <c r="F19" s="2" t="s">
        <v>279</v>
      </c>
      <c r="L19" s="101"/>
      <c r="M19" s="101"/>
      <c r="N19" s="101"/>
      <c r="O19" s="26">
        <f>'Data on corrections'!O30</f>
        <v>127828.38424120485</v>
      </c>
      <c r="P19" s="101"/>
    </row>
    <row r="20" spans="2:16" x14ac:dyDescent="0.2">
      <c r="B20" s="2" t="s">
        <v>392</v>
      </c>
      <c r="F20" s="2" t="s">
        <v>279</v>
      </c>
      <c r="L20" s="92">
        <f>'Data on corrections'!L31</f>
        <v>2.3154335450431548E-2</v>
      </c>
      <c r="M20" s="92">
        <f>'Data on corrections'!M31</f>
        <v>25.798082112926469</v>
      </c>
      <c r="N20" s="92">
        <f>'Data on corrections'!N31</f>
        <v>0.72336183329294312</v>
      </c>
      <c r="O20" s="92">
        <f>'Data on corrections'!O31</f>
        <v>265.91124491419987</v>
      </c>
      <c r="P20" s="92">
        <f>'Data on corrections'!P31</f>
        <v>1.4531874659515487</v>
      </c>
    </row>
    <row r="21" spans="2:16" x14ac:dyDescent="0.2">
      <c r="B21" s="2" t="s">
        <v>346</v>
      </c>
      <c r="F21" s="2" t="s">
        <v>279</v>
      </c>
      <c r="L21" s="101"/>
      <c r="M21" s="101"/>
      <c r="N21" s="101"/>
      <c r="O21" s="92">
        <f>'Data on corrections'!O32</f>
        <v>576.27419043324039</v>
      </c>
      <c r="P21" s="101"/>
    </row>
    <row r="23" spans="2:16" x14ac:dyDescent="0.2">
      <c r="B23" s="19" t="s">
        <v>393</v>
      </c>
    </row>
    <row r="24" spans="2:16" x14ac:dyDescent="0.2">
      <c r="B24" s="2" t="s">
        <v>113</v>
      </c>
      <c r="F24" s="2" t="s">
        <v>114</v>
      </c>
      <c r="J24" s="27">
        <f>SUM(L24:P24)</f>
        <v>9099251.3823729344</v>
      </c>
      <c r="L24" s="26">
        <f>'Historical data'!L21</f>
        <v>2807790.6419269913</v>
      </c>
      <c r="M24" s="26">
        <f>'Historical data'!M21</f>
        <v>2099727.8190321838</v>
      </c>
      <c r="N24" s="26">
        <f>'Historical data'!N21</f>
        <v>1364182.3299102224</v>
      </c>
      <c r="O24" s="26">
        <f>'Historical data'!O21</f>
        <v>2826574.5199072561</v>
      </c>
      <c r="P24" s="26">
        <f>'Historical data'!P21</f>
        <v>976.07159627994554</v>
      </c>
    </row>
    <row r="25" spans="2:16" x14ac:dyDescent="0.2">
      <c r="B25" s="2" t="s">
        <v>117</v>
      </c>
      <c r="F25" s="2" t="s">
        <v>114</v>
      </c>
      <c r="J25" s="27">
        <f t="shared" ref="J25:J27" si="0">SUM(L25:P25)</f>
        <v>884400.79669051722</v>
      </c>
      <c r="L25" s="26">
        <f>'Historical data'!L22</f>
        <v>369335.68785139988</v>
      </c>
      <c r="M25" s="26">
        <f>'Historical data'!M22</f>
        <v>198076.97728293162</v>
      </c>
      <c r="N25" s="26">
        <f>'Historical data'!N22</f>
        <v>122271.43611731179</v>
      </c>
      <c r="O25" s="26">
        <f>'Historical data'!O22</f>
        <v>194529.94154355564</v>
      </c>
      <c r="P25" s="26">
        <f>'Historical data'!P22</f>
        <v>186.75389531827514</v>
      </c>
    </row>
    <row r="26" spans="2:16" x14ac:dyDescent="0.2">
      <c r="B26" s="2" t="s">
        <v>442</v>
      </c>
      <c r="F26" s="2" t="s">
        <v>108</v>
      </c>
      <c r="J26" s="27">
        <f t="shared" si="0"/>
        <v>4489359.1499999994</v>
      </c>
      <c r="L26" s="26">
        <f>'Historical data'!L17</f>
        <v>2007361.6478045504</v>
      </c>
      <c r="M26" s="26">
        <f>'Historical data'!M17</f>
        <v>1040667.8730083217</v>
      </c>
      <c r="N26" s="26">
        <f>'Historical data'!N17</f>
        <v>594864.90738965385</v>
      </c>
      <c r="O26" s="26">
        <f>'Historical data'!O17</f>
        <v>846464.72179747385</v>
      </c>
      <c r="P26" s="26">
        <f>'Historical data'!P17</f>
        <v>0</v>
      </c>
    </row>
    <row r="27" spans="2:16" x14ac:dyDescent="0.2">
      <c r="B27" s="2" t="s">
        <v>110</v>
      </c>
      <c r="F27" s="2" t="s">
        <v>108</v>
      </c>
      <c r="J27" s="27">
        <f t="shared" si="0"/>
        <v>511397.42999999993</v>
      </c>
      <c r="L27" s="26">
        <f>'Historical data'!L18</f>
        <v>2926.1146092557124</v>
      </c>
      <c r="M27" s="26">
        <f>'Historical data'!M18</f>
        <v>439515.27092647104</v>
      </c>
      <c r="N27" s="26">
        <f>'Historical data'!N18</f>
        <v>-838.2788484082314</v>
      </c>
      <c r="O27" s="26">
        <f>'Historical data'!O18</f>
        <v>69794.323312681474</v>
      </c>
      <c r="P27" s="26">
        <f>'Historical data'!P18</f>
        <v>0</v>
      </c>
    </row>
    <row r="28" spans="2:16" x14ac:dyDescent="0.2">
      <c r="B28" s="2" t="s">
        <v>394</v>
      </c>
      <c r="F28" s="2" t="s">
        <v>108</v>
      </c>
      <c r="L28" s="36">
        <f>L26-L27</f>
        <v>2004435.5331952947</v>
      </c>
      <c r="M28" s="36">
        <f t="shared" ref="M28:P28" si="1">M26-M27</f>
        <v>601152.60208185064</v>
      </c>
      <c r="N28" s="36">
        <f t="shared" si="1"/>
        <v>595703.1862380621</v>
      </c>
      <c r="O28" s="36">
        <f t="shared" si="1"/>
        <v>776670.39848479233</v>
      </c>
      <c r="P28" s="36">
        <f t="shared" si="1"/>
        <v>0</v>
      </c>
    </row>
    <row r="29" spans="2:16" x14ac:dyDescent="0.2">
      <c r="L29" s="105"/>
      <c r="M29" s="105"/>
      <c r="N29" s="105"/>
      <c r="O29" s="105"/>
      <c r="P29" s="105"/>
    </row>
    <row r="30" spans="2:16" x14ac:dyDescent="0.2">
      <c r="B30" s="19" t="s">
        <v>395</v>
      </c>
    </row>
    <row r="31" spans="2:16" x14ac:dyDescent="0.2">
      <c r="B31" s="2" t="s">
        <v>113</v>
      </c>
      <c r="F31" s="2" t="s">
        <v>114</v>
      </c>
      <c r="J31" s="27">
        <f t="shared" ref="J31:J33" si="2">SUM(L31:P31)</f>
        <v>9099251.3823729344</v>
      </c>
      <c r="L31" s="26">
        <f t="shared" ref="L31:N32" si="3">L24</f>
        <v>2807790.6419269913</v>
      </c>
      <c r="M31" s="26">
        <f t="shared" si="3"/>
        <v>2099727.8190321838</v>
      </c>
      <c r="N31" s="26">
        <f t="shared" si="3"/>
        <v>1364182.3299102224</v>
      </c>
      <c r="O31" s="27">
        <f>O24*(1-$H$15)</f>
        <v>2735970.532505095</v>
      </c>
      <c r="P31" s="27">
        <f>O24*$H$15+P24</f>
        <v>91580.05899844096</v>
      </c>
    </row>
    <row r="32" spans="2:16" x14ac:dyDescent="0.2">
      <c r="B32" s="2" t="s">
        <v>117</v>
      </c>
      <c r="F32" s="2" t="s">
        <v>114</v>
      </c>
      <c r="J32" s="27">
        <f t="shared" si="2"/>
        <v>884400.79669051722</v>
      </c>
      <c r="L32" s="26">
        <f t="shared" si="3"/>
        <v>369335.68785139988</v>
      </c>
      <c r="M32" s="26">
        <f t="shared" si="3"/>
        <v>198076.97728293162</v>
      </c>
      <c r="N32" s="26">
        <f t="shared" si="3"/>
        <v>122271.43611731179</v>
      </c>
      <c r="O32" s="27">
        <f>O25*(1-$H$15)</f>
        <v>188294.41219563887</v>
      </c>
      <c r="P32" s="27">
        <f>O25*$H$15+P25</f>
        <v>6422.2832432350397</v>
      </c>
    </row>
    <row r="33" spans="1:17" x14ac:dyDescent="0.2">
      <c r="B33" s="2" t="s">
        <v>394</v>
      </c>
      <c r="F33" s="2" t="s">
        <v>108</v>
      </c>
      <c r="J33" s="27">
        <f t="shared" si="2"/>
        <v>3977961.72</v>
      </c>
      <c r="L33" s="26">
        <f>L28</f>
        <v>2004435.5331952947</v>
      </c>
      <c r="M33" s="26">
        <f t="shared" ref="M33:N33" si="4">M28</f>
        <v>601152.60208185064</v>
      </c>
      <c r="N33" s="26">
        <f t="shared" si="4"/>
        <v>595703.1862380621</v>
      </c>
      <c r="O33" s="27">
        <f>O28*(1-$H$15)</f>
        <v>751774.73962126567</v>
      </c>
      <c r="P33" s="112">
        <f>O28*$H$15</f>
        <v>24895.658863526591</v>
      </c>
    </row>
    <row r="35" spans="1:17" x14ac:dyDescent="0.2">
      <c r="B35" s="1" t="s">
        <v>261</v>
      </c>
    </row>
    <row r="36" spans="1:17" s="20" customFormat="1" x14ac:dyDescent="0.2">
      <c r="A36" s="2"/>
      <c r="B36" s="20" t="s">
        <v>36</v>
      </c>
      <c r="F36" s="20" t="s">
        <v>124</v>
      </c>
      <c r="L36" s="20" t="s">
        <v>125</v>
      </c>
      <c r="M36" s="20" t="s">
        <v>126</v>
      </c>
      <c r="N36" s="20" t="s">
        <v>127</v>
      </c>
      <c r="O36" s="20" t="s">
        <v>128</v>
      </c>
      <c r="P36" s="20" t="s">
        <v>127</v>
      </c>
    </row>
    <row r="37" spans="1:17" s="20" customFormat="1" x14ac:dyDescent="0.2">
      <c r="A37" s="2"/>
      <c r="B37" s="2" t="s">
        <v>377</v>
      </c>
      <c r="F37" s="2" t="s">
        <v>124</v>
      </c>
      <c r="L37" s="106"/>
      <c r="M37" s="106"/>
      <c r="N37" s="106"/>
      <c r="O37" s="92">
        <f>'Data on corrections'!O37</f>
        <v>896.33333333333337</v>
      </c>
      <c r="P37" s="106"/>
    </row>
    <row r="38" spans="1:17" x14ac:dyDescent="0.2">
      <c r="B38" s="2" t="s">
        <v>129</v>
      </c>
      <c r="F38" s="2" t="s">
        <v>124</v>
      </c>
      <c r="L38" s="85">
        <f>'Historical data'!L39</f>
        <v>15672434</v>
      </c>
      <c r="M38" s="85">
        <f>'Historical data'!M37</f>
        <v>18218.78</v>
      </c>
      <c r="N38" s="85">
        <f>'Historical data'!N37</f>
        <v>187656</v>
      </c>
      <c r="O38" s="85">
        <f>'Historical data'!O37</f>
        <v>1036.1666666666667</v>
      </c>
      <c r="P38" s="85">
        <f>'Historical data'!P37</f>
        <v>6147.1999999999989</v>
      </c>
    </row>
    <row r="40" spans="1:17" x14ac:dyDescent="0.2">
      <c r="B40" s="107" t="s">
        <v>411</v>
      </c>
    </row>
    <row r="41" spans="1:17" x14ac:dyDescent="0.2">
      <c r="B41" s="2" t="s">
        <v>405</v>
      </c>
      <c r="F41" s="2" t="s">
        <v>406</v>
      </c>
      <c r="L41" s="94">
        <f>'Data on corrections'!L42</f>
        <v>0.29422474662865467</v>
      </c>
      <c r="M41" s="48"/>
      <c r="N41" s="48"/>
      <c r="O41" s="48"/>
    </row>
    <row r="42" spans="1:17" x14ac:dyDescent="0.2">
      <c r="B42" s="2" t="s">
        <v>407</v>
      </c>
      <c r="F42" s="2" t="s">
        <v>406</v>
      </c>
      <c r="L42" s="94">
        <f>'Data on corrections'!L43</f>
        <v>0.36197645114248977</v>
      </c>
      <c r="M42" s="48"/>
      <c r="N42" s="48"/>
      <c r="O42" s="48"/>
    </row>
    <row r="43" spans="1:17" x14ac:dyDescent="0.2">
      <c r="B43" s="2" t="s">
        <v>408</v>
      </c>
      <c r="F43" s="2" t="s">
        <v>406</v>
      </c>
      <c r="L43" s="74">
        <f>(L41+L42)/2</f>
        <v>0.32810059888557219</v>
      </c>
      <c r="M43" s="48"/>
      <c r="N43" s="94">
        <f>'Data on corrections'!N44</f>
        <v>7.191572933731611</v>
      </c>
      <c r="O43" s="48"/>
      <c r="Q43" s="2" t="s">
        <v>409</v>
      </c>
    </row>
    <row r="44" spans="1:17" x14ac:dyDescent="0.2">
      <c r="B44" s="2" t="s">
        <v>367</v>
      </c>
      <c r="F44" s="2" t="s">
        <v>88</v>
      </c>
      <c r="L44" s="48"/>
      <c r="M44" s="84">
        <f>'Data on corrections'!M39</f>
        <v>0.14000000000000001</v>
      </c>
      <c r="N44" s="48"/>
      <c r="O44" s="84">
        <f>'Data on corrections'!O39</f>
        <v>0.1255</v>
      </c>
    </row>
    <row r="45" spans="1:17" x14ac:dyDescent="0.2">
      <c r="B45" s="2" t="s">
        <v>410</v>
      </c>
      <c r="F45" s="2" t="s">
        <v>88</v>
      </c>
      <c r="L45" s="48"/>
      <c r="M45" s="84">
        <f>'Historical data'!M41</f>
        <v>9.6593510378510203E-2</v>
      </c>
      <c r="N45" s="48"/>
      <c r="O45" s="84">
        <f>'Historical data'!O41</f>
        <v>0.39205620923391699</v>
      </c>
    </row>
    <row r="47" spans="1:17" s="8" customFormat="1" x14ac:dyDescent="0.2">
      <c r="B47" s="8" t="s">
        <v>404</v>
      </c>
    </row>
    <row r="49" spans="2:18" x14ac:dyDescent="0.2">
      <c r="B49" s="19" t="s">
        <v>396</v>
      </c>
    </row>
    <row r="50" spans="2:18" x14ac:dyDescent="0.2">
      <c r="B50" s="2" t="s">
        <v>397</v>
      </c>
      <c r="F50" s="2" t="s">
        <v>108</v>
      </c>
      <c r="J50" s="27">
        <f t="shared" ref="J50" si="5">SUM(L50:P50)</f>
        <v>5575705.8068931326</v>
      </c>
      <c r="L50" s="41">
        <f>L38*L20+L18</f>
        <v>2332405.5862573613</v>
      </c>
      <c r="M50" s="41">
        <f>M38*M20+M18</f>
        <v>1234059.8232953304</v>
      </c>
      <c r="N50" s="41">
        <f>N38*N20+N18</f>
        <v>932931.2749903528</v>
      </c>
      <c r="O50" s="41">
        <f>O18+O19+O38*O20+O21*(O38-O37)</f>
        <v>1054997.0242382518</v>
      </c>
      <c r="P50" s="41">
        <f>P38*P20+P18</f>
        <v>21312.098111836676</v>
      </c>
    </row>
    <row r="52" spans="2:18" x14ac:dyDescent="0.2">
      <c r="B52" s="19" t="s">
        <v>398</v>
      </c>
    </row>
    <row r="53" spans="2:18" x14ac:dyDescent="0.2">
      <c r="B53" s="2" t="s">
        <v>399</v>
      </c>
      <c r="F53" s="2" t="s">
        <v>108</v>
      </c>
      <c r="J53" s="27">
        <f t="shared" ref="J53:J55" si="6">SUM(L53:P53)</f>
        <v>1427626.1042181812</v>
      </c>
      <c r="L53" s="41">
        <f>L31*$H$13+L32</f>
        <v>536960.78917444125</v>
      </c>
      <c r="M53" s="41">
        <f>M31*$H$13+M32</f>
        <v>323430.72807915299</v>
      </c>
      <c r="N53" s="41">
        <f>N31*$H$13+N32</f>
        <v>203713.12121295207</v>
      </c>
      <c r="O53" s="41">
        <f>O31*$H$13+O32</f>
        <v>351631.85298619303</v>
      </c>
      <c r="P53" s="41">
        <f>P31*$H$13+P32</f>
        <v>11889.612765441965</v>
      </c>
    </row>
    <row r="54" spans="2:18" x14ac:dyDescent="0.2">
      <c r="B54" s="2" t="s">
        <v>394</v>
      </c>
      <c r="F54" s="2" t="s">
        <v>108</v>
      </c>
      <c r="J54" s="27">
        <f t="shared" si="6"/>
        <v>3977961.72</v>
      </c>
      <c r="L54" s="85">
        <f>L33</f>
        <v>2004435.5331952947</v>
      </c>
      <c r="M54" s="85">
        <f>M33</f>
        <v>601152.60208185064</v>
      </c>
      <c r="N54" s="85">
        <f>N33</f>
        <v>595703.1862380621</v>
      </c>
      <c r="O54" s="85">
        <f>O33</f>
        <v>751774.73962126567</v>
      </c>
      <c r="P54" s="85">
        <f>P33</f>
        <v>24895.658863526591</v>
      </c>
    </row>
    <row r="55" spans="2:18" x14ac:dyDescent="0.2">
      <c r="B55" s="2" t="s">
        <v>400</v>
      </c>
      <c r="F55" s="2" t="s">
        <v>108</v>
      </c>
      <c r="J55" s="27">
        <f t="shared" si="6"/>
        <v>5405587.82421818</v>
      </c>
      <c r="L55" s="41">
        <f>L53+L54</f>
        <v>2541396.3223697357</v>
      </c>
      <c r="M55" s="41">
        <f>M53+M54</f>
        <v>924583.33016100363</v>
      </c>
      <c r="N55" s="41">
        <f>N53+N54</f>
        <v>799416.30745101417</v>
      </c>
      <c r="O55" s="41">
        <f>O53+O54</f>
        <v>1103406.5926074586</v>
      </c>
      <c r="P55" s="41">
        <f>P53+P54</f>
        <v>36785.271628968556</v>
      </c>
    </row>
    <row r="57" spans="2:18" x14ac:dyDescent="0.2">
      <c r="B57" s="19" t="s">
        <v>338</v>
      </c>
    </row>
    <row r="58" spans="2:18" x14ac:dyDescent="0.2">
      <c r="B58" s="2" t="s">
        <v>401</v>
      </c>
      <c r="F58" s="2" t="s">
        <v>108</v>
      </c>
      <c r="L58" s="41">
        <f>L50-L55</f>
        <v>-208990.73611237435</v>
      </c>
      <c r="M58" s="41">
        <f>M50-M55</f>
        <v>309476.49313432677</v>
      </c>
      <c r="N58" s="41">
        <f>N50-N55</f>
        <v>133514.96753933863</v>
      </c>
      <c r="O58" s="41">
        <f>O50-O55</f>
        <v>-48409.56836920674</v>
      </c>
      <c r="P58" s="41">
        <f>P50-P55</f>
        <v>-15473.17351713188</v>
      </c>
      <c r="R58" s="2" t="s">
        <v>402</v>
      </c>
    </row>
    <row r="59" spans="2:18" x14ac:dyDescent="0.2">
      <c r="B59" s="2" t="s">
        <v>403</v>
      </c>
      <c r="F59" s="2" t="s">
        <v>108</v>
      </c>
      <c r="L59" s="21">
        <f>$H$14*L58*(-1)</f>
        <v>104495.36805618717</v>
      </c>
      <c r="M59" s="21">
        <f>$H$14*M58*(-1)</f>
        <v>-154738.24656716338</v>
      </c>
      <c r="N59" s="21">
        <f>$H$14*N58*(-1)</f>
        <v>-66757.483769669314</v>
      </c>
      <c r="O59" s="21">
        <f>$H$14*O58*(-1)</f>
        <v>24204.78418460337</v>
      </c>
      <c r="P59" s="21">
        <f>$H$14*P58*(-1)</f>
        <v>7736.5867585659398</v>
      </c>
    </row>
    <row r="61" spans="2:18" s="8" customFormat="1" x14ac:dyDescent="0.2">
      <c r="B61" s="8" t="s">
        <v>417</v>
      </c>
    </row>
    <row r="63" spans="2:18" x14ac:dyDescent="0.2">
      <c r="B63" s="2" t="s">
        <v>412</v>
      </c>
      <c r="F63" s="2" t="s">
        <v>108</v>
      </c>
      <c r="L63" s="48"/>
      <c r="M63" s="41">
        <f>L43*L38*M44</f>
        <v>719898.89739524457</v>
      </c>
      <c r="N63" s="48"/>
      <c r="O63" s="41">
        <f>N43*N38*O44</f>
        <v>169367.49721176858</v>
      </c>
      <c r="P63" s="48"/>
    </row>
    <row r="64" spans="2:18" x14ac:dyDescent="0.2">
      <c r="B64" s="2" t="s">
        <v>413</v>
      </c>
      <c r="F64" s="2" t="s">
        <v>108</v>
      </c>
      <c r="L64" s="48"/>
      <c r="M64" s="41">
        <f>L43*L38*M45</f>
        <v>496696.86869304004</v>
      </c>
      <c r="N64" s="48"/>
      <c r="O64" s="41">
        <f>N43*N38*O45</f>
        <v>529096.24640862143</v>
      </c>
      <c r="P64" s="48"/>
    </row>
    <row r="65" spans="2:18" x14ac:dyDescent="0.2">
      <c r="B65" s="2" t="s">
        <v>414</v>
      </c>
      <c r="F65" s="2" t="s">
        <v>108</v>
      </c>
      <c r="L65" s="48"/>
      <c r="M65" s="41">
        <f>M63-M64</f>
        <v>223202.02870220452</v>
      </c>
      <c r="N65" s="48"/>
      <c r="O65" s="41">
        <f>O63-O64</f>
        <v>-359728.74919685285</v>
      </c>
      <c r="P65" s="48"/>
      <c r="R65" s="2" t="s">
        <v>402</v>
      </c>
    </row>
    <row r="67" spans="2:18" x14ac:dyDescent="0.2">
      <c r="B67" s="2" t="s">
        <v>415</v>
      </c>
      <c r="F67" s="2" t="s">
        <v>108</v>
      </c>
      <c r="L67" s="48"/>
      <c r="M67" s="21">
        <f>$H$14*M65*(-1)</f>
        <v>-111601.01435110226</v>
      </c>
      <c r="N67" s="48"/>
      <c r="O67" s="21">
        <f>$H$14*O65*(-1)</f>
        <v>179864.37459842642</v>
      </c>
      <c r="P67" s="48"/>
      <c r="R67" s="2" t="s">
        <v>416</v>
      </c>
    </row>
    <row r="68" spans="2:18" x14ac:dyDescent="0.2">
      <c r="L68" s="108"/>
      <c r="M68" s="68"/>
      <c r="N68" s="108"/>
      <c r="O68" s="68"/>
    </row>
    <row r="70" spans="2:18" x14ac:dyDescent="0.2">
      <c r="B70" s="4" t="s">
        <v>65</v>
      </c>
    </row>
  </sheetData>
  <phoneticPr fontId="31" type="noConversion"/>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E3DD41-07E3-4DF5-96C3-B03E91C1BA99}">
  <sheetPr>
    <tabColor rgb="FFFFFFCC"/>
  </sheetPr>
  <dimension ref="B2:R30"/>
  <sheetViews>
    <sheetView showGridLines="0" zoomScale="85" zoomScaleNormal="85" workbookViewId="0">
      <pane xSplit="6" ySplit="11" topLeftCell="G12" activePane="bottomRight" state="frozen"/>
      <selection activeCell="L52" sqref="L52"/>
      <selection pane="topRight" activeCell="L52" sqref="L52"/>
      <selection pane="bottomLeft" activeCell="L52" sqref="L52"/>
      <selection pane="bottomRight" activeCell="G12" sqref="G12"/>
    </sheetView>
  </sheetViews>
  <sheetFormatPr defaultColWidth="9.140625" defaultRowHeight="12.75" x14ac:dyDescent="0.2"/>
  <cols>
    <col min="1" max="1" width="4.5703125" style="2" customWidth="1"/>
    <col min="2" max="2" width="64.28515625" style="2" customWidth="1"/>
    <col min="3" max="5" width="4.5703125" style="2" customWidth="1"/>
    <col min="6" max="6" width="15.42578125" style="2" customWidth="1"/>
    <col min="7" max="7" width="2.7109375" style="2" customWidth="1"/>
    <col min="8" max="8" width="13.7109375" style="2" customWidth="1"/>
    <col min="9" max="9" width="2.7109375" style="2" customWidth="1"/>
    <col min="10" max="10" width="13.7109375" style="2" customWidth="1"/>
    <col min="11" max="11" width="2.7109375" style="2" customWidth="1"/>
    <col min="12" max="16" width="21.7109375" style="2" customWidth="1"/>
    <col min="17" max="17" width="2.7109375" style="2" customWidth="1"/>
    <col min="18" max="18" width="30.7109375" style="2" customWidth="1"/>
    <col min="19" max="19" width="2.7109375" style="2" customWidth="1"/>
    <col min="20" max="29" width="12.5703125" style="2" customWidth="1"/>
    <col min="30" max="32" width="2.7109375" style="2" customWidth="1"/>
    <col min="33" max="47" width="13.7109375" style="2" customWidth="1"/>
    <col min="48" max="16384" width="9.140625" style="2"/>
  </cols>
  <sheetData>
    <row r="2" spans="2:18" s="12" customFormat="1" ht="18" x14ac:dyDescent="0.2">
      <c r="B2" s="12" t="s">
        <v>418</v>
      </c>
    </row>
    <row r="4" spans="2:18" x14ac:dyDescent="0.2">
      <c r="B4" s="19" t="s">
        <v>102</v>
      </c>
      <c r="C4" s="1"/>
      <c r="D4" s="1"/>
    </row>
    <row r="5" spans="2:18" x14ac:dyDescent="0.2">
      <c r="B5" s="2" t="s">
        <v>560</v>
      </c>
      <c r="C5" s="3"/>
      <c r="D5" s="3"/>
      <c r="H5" s="13"/>
    </row>
    <row r="6" spans="2:18" x14ac:dyDescent="0.2">
      <c r="B6" s="2" t="s">
        <v>419</v>
      </c>
      <c r="C6" s="3"/>
      <c r="D6" s="3"/>
      <c r="H6" s="13"/>
    </row>
    <row r="7" spans="2:18" x14ac:dyDescent="0.2">
      <c r="B7" s="2" t="s">
        <v>420</v>
      </c>
      <c r="C7" s="3"/>
      <c r="D7" s="3"/>
      <c r="H7" s="13"/>
    </row>
    <row r="8" spans="2:18" x14ac:dyDescent="0.2">
      <c r="B8" s="2" t="s">
        <v>421</v>
      </c>
      <c r="C8" s="3"/>
      <c r="D8" s="3"/>
    </row>
    <row r="9" spans="2:18" x14ac:dyDescent="0.2">
      <c r="B9" s="4"/>
      <c r="C9" s="3"/>
      <c r="D9" s="3"/>
    </row>
    <row r="10" spans="2:18" s="8" customFormat="1" ht="12.75" customHeight="1" x14ac:dyDescent="0.2">
      <c r="B10" s="8" t="s">
        <v>103</v>
      </c>
      <c r="F10" s="8" t="s">
        <v>104</v>
      </c>
      <c r="H10" s="8" t="s">
        <v>37</v>
      </c>
      <c r="J10" s="8" t="s">
        <v>38</v>
      </c>
      <c r="L10" s="8" t="s">
        <v>257</v>
      </c>
      <c r="M10" s="8" t="s">
        <v>73</v>
      </c>
      <c r="N10" s="8" t="s">
        <v>74</v>
      </c>
      <c r="O10" s="8" t="s">
        <v>75</v>
      </c>
      <c r="P10" s="8" t="s">
        <v>76</v>
      </c>
      <c r="R10" s="8" t="s">
        <v>39</v>
      </c>
    </row>
    <row r="13" spans="2:18" s="8" customFormat="1" x14ac:dyDescent="0.2">
      <c r="B13" s="8" t="s">
        <v>353</v>
      </c>
    </row>
    <row r="15" spans="2:18" x14ac:dyDescent="0.2">
      <c r="B15" s="1" t="s">
        <v>354</v>
      </c>
    </row>
    <row r="16" spans="2:18" x14ac:dyDescent="0.2">
      <c r="B16" s="2" t="s">
        <v>355</v>
      </c>
      <c r="F16" s="2" t="s">
        <v>127</v>
      </c>
      <c r="L16" s="10"/>
      <c r="M16" s="10"/>
      <c r="N16" s="85">
        <f>'Data on corrections'!N48</f>
        <v>187300</v>
      </c>
      <c r="O16" s="10"/>
      <c r="P16" s="10"/>
    </row>
    <row r="17" spans="2:16" x14ac:dyDescent="0.2">
      <c r="B17" s="2" t="s">
        <v>357</v>
      </c>
      <c r="F17" s="2" t="s">
        <v>422</v>
      </c>
      <c r="L17" s="10"/>
      <c r="M17" s="10"/>
      <c r="N17" s="92">
        <f>'Data on corrections'!N49</f>
        <v>0.50186477676694452</v>
      </c>
      <c r="O17" s="10"/>
      <c r="P17" s="10"/>
    </row>
    <row r="18" spans="2:16" x14ac:dyDescent="0.2">
      <c r="B18" s="2" t="s">
        <v>360</v>
      </c>
      <c r="F18" s="2" t="s">
        <v>422</v>
      </c>
      <c r="L18" s="10"/>
      <c r="M18" s="10"/>
      <c r="N18" s="92">
        <f>'Data on corrections'!N50</f>
        <v>0.37139101036130612</v>
      </c>
      <c r="O18" s="10"/>
      <c r="P18" s="10"/>
    </row>
    <row r="19" spans="2:16" x14ac:dyDescent="0.2">
      <c r="B19" s="2" t="s">
        <v>362</v>
      </c>
      <c r="F19" s="2" t="s">
        <v>149</v>
      </c>
      <c r="L19" s="10"/>
      <c r="M19" s="10"/>
      <c r="N19" s="92">
        <f>'Data on corrections'!N51</f>
        <v>3.4550162121682879</v>
      </c>
      <c r="O19" s="10"/>
      <c r="P19" s="10"/>
    </row>
    <row r="20" spans="2:16" x14ac:dyDescent="0.2">
      <c r="B20" s="2" t="s">
        <v>364</v>
      </c>
      <c r="F20" s="2" t="s">
        <v>88</v>
      </c>
      <c r="L20" s="10"/>
      <c r="M20" s="10"/>
      <c r="N20" s="92">
        <f>'Data on corrections'!N52</f>
        <v>0.5</v>
      </c>
      <c r="O20" s="10"/>
      <c r="P20" s="10"/>
    </row>
    <row r="21" spans="2:16" x14ac:dyDescent="0.2">
      <c r="N21" s="22"/>
    </row>
    <row r="22" spans="2:16" s="8" customFormat="1" x14ac:dyDescent="0.2">
      <c r="B22" s="8" t="s">
        <v>423</v>
      </c>
    </row>
    <row r="23" spans="2:16" x14ac:dyDescent="0.2">
      <c r="N23" s="22"/>
    </row>
    <row r="24" spans="2:16" x14ac:dyDescent="0.2">
      <c r="B24" s="2" t="s">
        <v>424</v>
      </c>
      <c r="F24" s="2" t="s">
        <v>422</v>
      </c>
      <c r="L24" s="10"/>
      <c r="M24" s="10"/>
      <c r="N24" s="109">
        <f>N18-N17</f>
        <v>-0.1304737664056384</v>
      </c>
      <c r="O24" s="10"/>
      <c r="P24" s="10"/>
    </row>
    <row r="25" spans="2:16" x14ac:dyDescent="0.2">
      <c r="B25" s="2" t="s">
        <v>425</v>
      </c>
      <c r="F25" s="2" t="s">
        <v>125</v>
      </c>
      <c r="L25" s="10"/>
      <c r="M25" s="10"/>
      <c r="N25" s="110">
        <f>N16*N20*N19</f>
        <v>323562.26826956018</v>
      </c>
      <c r="O25" s="10"/>
      <c r="P25" s="10"/>
    </row>
    <row r="26" spans="2:16" x14ac:dyDescent="0.2">
      <c r="N26" s="22"/>
    </row>
    <row r="27" spans="2:16" x14ac:dyDescent="0.2">
      <c r="B27" s="2" t="s">
        <v>207</v>
      </c>
      <c r="F27" s="2" t="s">
        <v>155</v>
      </c>
      <c r="L27" s="10"/>
      <c r="M27" s="10"/>
      <c r="N27" s="21">
        <f>N25*N24</f>
        <v>-42216.387807881103</v>
      </c>
      <c r="O27" s="10"/>
      <c r="P27" s="10"/>
    </row>
    <row r="30" spans="2:16" x14ac:dyDescent="0.2">
      <c r="B30" s="4" t="s">
        <v>65</v>
      </c>
    </row>
  </sheetData>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696DA2-1FC8-4F22-8FF5-D0DB21232824}">
  <sheetPr>
    <tabColor rgb="FFFFFFCC"/>
  </sheetPr>
  <dimension ref="B2:R36"/>
  <sheetViews>
    <sheetView showGridLines="0" zoomScale="85" zoomScaleNormal="85" workbookViewId="0">
      <pane xSplit="6" ySplit="8" topLeftCell="G9" activePane="bottomRight" state="frozen"/>
      <selection activeCell="L52" sqref="L52"/>
      <selection pane="topRight" activeCell="L52" sqref="L52"/>
      <selection pane="bottomLeft" activeCell="L52" sqref="L52"/>
      <selection pane="bottomRight" activeCell="G9" sqref="G9"/>
    </sheetView>
  </sheetViews>
  <sheetFormatPr defaultColWidth="9.140625" defaultRowHeight="12.75" x14ac:dyDescent="0.2"/>
  <cols>
    <col min="1" max="1" width="4.5703125" style="2" customWidth="1"/>
    <col min="2" max="2" width="64.28515625" style="2" customWidth="1"/>
    <col min="3" max="5" width="4.5703125" style="2" customWidth="1"/>
    <col min="6" max="6" width="15.42578125" style="2" customWidth="1"/>
    <col min="7" max="7" width="2.7109375" style="2" customWidth="1"/>
    <col min="8" max="8" width="13.7109375" style="2" customWidth="1"/>
    <col min="9" max="9" width="2.7109375" style="2" customWidth="1"/>
    <col min="10" max="10" width="13.7109375" style="2" customWidth="1"/>
    <col min="11" max="11" width="2.7109375" style="2" customWidth="1"/>
    <col min="12" max="16" width="21.7109375" style="2" customWidth="1"/>
    <col min="17" max="17" width="2.7109375" style="2" customWidth="1"/>
    <col min="18" max="18" width="30.7109375" style="2" customWidth="1"/>
    <col min="19" max="19" width="2.7109375" style="2" customWidth="1"/>
    <col min="20" max="29" width="12.5703125" style="2" customWidth="1"/>
    <col min="30" max="32" width="2.7109375" style="2" customWidth="1"/>
    <col min="33" max="47" width="13.7109375" style="2" customWidth="1"/>
    <col min="48" max="16384" width="9.140625" style="2"/>
  </cols>
  <sheetData>
    <row r="2" spans="2:18" s="12" customFormat="1" ht="18" x14ac:dyDescent="0.2">
      <c r="B2" s="12" t="s">
        <v>477</v>
      </c>
    </row>
    <row r="4" spans="2:18" x14ac:dyDescent="0.2">
      <c r="B4" s="19" t="s">
        <v>12</v>
      </c>
      <c r="C4" s="1"/>
      <c r="D4" s="1"/>
    </row>
    <row r="5" spans="2:18" x14ac:dyDescent="0.2">
      <c r="B5" s="2" t="s">
        <v>596</v>
      </c>
      <c r="C5" s="3"/>
      <c r="D5" s="3"/>
      <c r="H5" s="13"/>
    </row>
    <row r="6" spans="2:18" x14ac:dyDescent="0.2">
      <c r="C6" s="3"/>
      <c r="D6" s="3"/>
      <c r="H6" s="13"/>
    </row>
    <row r="7" spans="2:18" s="8" customFormat="1" ht="12.75" customHeight="1" x14ac:dyDescent="0.2">
      <c r="B7" s="8" t="s">
        <v>103</v>
      </c>
      <c r="F7" s="8" t="s">
        <v>104</v>
      </c>
      <c r="H7" s="8" t="s">
        <v>37</v>
      </c>
      <c r="J7" s="8" t="s">
        <v>38</v>
      </c>
      <c r="L7" s="8" t="s">
        <v>257</v>
      </c>
      <c r="M7" s="8" t="s">
        <v>73</v>
      </c>
      <c r="N7" s="8" t="s">
        <v>74</v>
      </c>
      <c r="O7" s="8" t="s">
        <v>75</v>
      </c>
      <c r="P7" s="8" t="s">
        <v>76</v>
      </c>
      <c r="R7" s="8" t="s">
        <v>39</v>
      </c>
    </row>
    <row r="10" spans="2:18" s="8" customFormat="1" x14ac:dyDescent="0.2">
      <c r="B10" s="8" t="s">
        <v>41</v>
      </c>
    </row>
    <row r="12" spans="2:18" x14ac:dyDescent="0.2">
      <c r="B12" s="19" t="s">
        <v>475</v>
      </c>
    </row>
    <row r="13" spans="2:18" x14ac:dyDescent="0.2">
      <c r="B13" s="2" t="s">
        <v>472</v>
      </c>
      <c r="F13" s="2" t="s">
        <v>163</v>
      </c>
      <c r="O13" s="26">
        <f>'Data on corrections'!O56</f>
        <v>518</v>
      </c>
    </row>
    <row r="14" spans="2:18" x14ac:dyDescent="0.2">
      <c r="B14" s="2" t="s">
        <v>473</v>
      </c>
      <c r="F14" s="2" t="s">
        <v>114</v>
      </c>
      <c r="O14" s="26">
        <f>'Data on corrections'!O57</f>
        <v>307847</v>
      </c>
    </row>
    <row r="15" spans="2:18" x14ac:dyDescent="0.2">
      <c r="B15" s="2" t="s">
        <v>474</v>
      </c>
      <c r="F15" s="2" t="s">
        <v>114</v>
      </c>
      <c r="O15" s="26">
        <f>'Data on corrections'!O58</f>
        <v>24424</v>
      </c>
    </row>
    <row r="17" spans="2:18" x14ac:dyDescent="0.2">
      <c r="B17" s="19" t="s">
        <v>478</v>
      </c>
    </row>
    <row r="18" spans="2:18" x14ac:dyDescent="0.2">
      <c r="B18" s="2" t="s">
        <v>479</v>
      </c>
      <c r="F18" s="2" t="s">
        <v>163</v>
      </c>
      <c r="O18" s="26">
        <f>'Historical data'!O37</f>
        <v>1036.1666666666667</v>
      </c>
    </row>
    <row r="19" spans="2:18" x14ac:dyDescent="0.2">
      <c r="B19" s="2" t="s">
        <v>480</v>
      </c>
      <c r="F19" s="2" t="s">
        <v>114</v>
      </c>
      <c r="O19" s="26">
        <f>'Historical data'!O21</f>
        <v>2826574.5199072561</v>
      </c>
    </row>
    <row r="20" spans="2:18" x14ac:dyDescent="0.2">
      <c r="B20" s="2" t="s">
        <v>481</v>
      </c>
      <c r="F20" s="2" t="s">
        <v>114</v>
      </c>
      <c r="O20" s="26">
        <f>'Historical data'!O22</f>
        <v>194529.94154355564</v>
      </c>
    </row>
    <row r="22" spans="2:18" x14ac:dyDescent="0.2">
      <c r="B22" s="19" t="s">
        <v>468</v>
      </c>
    </row>
    <row r="23" spans="2:18" x14ac:dyDescent="0.2">
      <c r="B23" s="32" t="s">
        <v>476</v>
      </c>
      <c r="F23" s="2" t="s">
        <v>163</v>
      </c>
      <c r="O23" s="26">
        <f>'Estimates for 2024'!O68</f>
        <v>1149.8493807187922</v>
      </c>
    </row>
    <row r="25" spans="2:18" s="8" customFormat="1" x14ac:dyDescent="0.2">
      <c r="B25" s="8" t="s">
        <v>570</v>
      </c>
    </row>
    <row r="27" spans="2:18" x14ac:dyDescent="0.2">
      <c r="B27" s="19" t="s">
        <v>484</v>
      </c>
    </row>
    <row r="28" spans="2:18" x14ac:dyDescent="0.2">
      <c r="B28" s="2" t="s">
        <v>482</v>
      </c>
      <c r="F28" s="2" t="s">
        <v>114</v>
      </c>
      <c r="O28" s="41">
        <f>(O19-O14)/(O18-O13)</f>
        <v>4860.844361352054</v>
      </c>
    </row>
    <row r="29" spans="2:18" x14ac:dyDescent="0.2">
      <c r="B29" s="2" t="s">
        <v>483</v>
      </c>
      <c r="F29" s="2" t="s">
        <v>114</v>
      </c>
      <c r="O29" s="41">
        <f>(O20-O15)/(O18-O13)</f>
        <v>328.2842229853116</v>
      </c>
    </row>
    <row r="31" spans="2:18" x14ac:dyDescent="0.2">
      <c r="B31" s="19" t="s">
        <v>477</v>
      </c>
    </row>
    <row r="32" spans="2:18" x14ac:dyDescent="0.2">
      <c r="B32" s="2" t="s">
        <v>120</v>
      </c>
      <c r="F32" s="2" t="s">
        <v>114</v>
      </c>
      <c r="O32" s="41">
        <f>O28*(O23-O18)</f>
        <v>552593.9795834719</v>
      </c>
      <c r="R32" s="47" t="s">
        <v>485</v>
      </c>
    </row>
    <row r="33" spans="2:18" x14ac:dyDescent="0.2">
      <c r="B33" s="2" t="s">
        <v>122</v>
      </c>
      <c r="F33" s="2" t="s">
        <v>114</v>
      </c>
      <c r="O33" s="41">
        <f>O29*(O23-O18)</f>
        <v>37320.24144946337</v>
      </c>
      <c r="R33" s="47" t="s">
        <v>486</v>
      </c>
    </row>
    <row r="36" spans="2:18" x14ac:dyDescent="0.2">
      <c r="B36" s="4" t="s">
        <v>65</v>
      </c>
    </row>
  </sheetData>
  <phoneticPr fontId="31" type="noConversion"/>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CF0240-A583-4AC7-A5BF-865241960DB5}">
  <sheetPr>
    <tabColor rgb="FFFFFFCC"/>
  </sheetPr>
  <dimension ref="B2:R51"/>
  <sheetViews>
    <sheetView showGridLines="0" zoomScale="85" zoomScaleNormal="85" workbookViewId="0">
      <pane xSplit="6" ySplit="8" topLeftCell="G9" activePane="bottomRight" state="frozen"/>
      <selection activeCell="L52" sqref="L52"/>
      <selection pane="topRight" activeCell="L52" sqref="L52"/>
      <selection pane="bottomLeft" activeCell="L52" sqref="L52"/>
      <selection pane="bottomRight" activeCell="G9" sqref="G9"/>
    </sheetView>
  </sheetViews>
  <sheetFormatPr defaultColWidth="9.140625" defaultRowHeight="12.75" x14ac:dyDescent="0.2"/>
  <cols>
    <col min="1" max="1" width="4.5703125" style="2" customWidth="1"/>
    <col min="2" max="2" width="64.28515625" style="2" customWidth="1"/>
    <col min="3" max="5" width="4.5703125" style="2" customWidth="1"/>
    <col min="6" max="6" width="15.42578125" style="2" customWidth="1"/>
    <col min="7" max="7" width="2.7109375" style="2" customWidth="1"/>
    <col min="8" max="8" width="13.7109375" style="2" customWidth="1"/>
    <col min="9" max="9" width="2.7109375" style="2" customWidth="1"/>
    <col min="10" max="10" width="13.7109375" style="2" customWidth="1"/>
    <col min="11" max="11" width="2.7109375" style="2" customWidth="1"/>
    <col min="12" max="16" width="21.7109375" style="2" customWidth="1"/>
    <col min="17" max="17" width="2.7109375" style="2" customWidth="1"/>
    <col min="18" max="18" width="30.7109375" style="2" customWidth="1"/>
    <col min="19" max="19" width="2.7109375" style="2" customWidth="1"/>
    <col min="20" max="29" width="12.5703125" style="2" customWidth="1"/>
    <col min="30" max="32" width="2.7109375" style="2" customWidth="1"/>
    <col min="33" max="47" width="13.7109375" style="2" customWidth="1"/>
    <col min="48" max="16384" width="9.140625" style="2"/>
  </cols>
  <sheetData>
    <row r="2" spans="2:18" s="12" customFormat="1" ht="18" x14ac:dyDescent="0.2">
      <c r="B2" s="12" t="s">
        <v>429</v>
      </c>
    </row>
    <row r="4" spans="2:18" x14ac:dyDescent="0.2">
      <c r="B4" s="19" t="s">
        <v>12</v>
      </c>
      <c r="C4" s="1"/>
      <c r="D4" s="1"/>
    </row>
    <row r="5" spans="2:18" x14ac:dyDescent="0.2">
      <c r="B5" s="2" t="s">
        <v>563</v>
      </c>
      <c r="C5" s="3"/>
      <c r="D5" s="3"/>
      <c r="H5" s="13"/>
    </row>
    <row r="6" spans="2:18" x14ac:dyDescent="0.2">
      <c r="C6" s="3"/>
      <c r="D6" s="3"/>
      <c r="H6" s="13"/>
    </row>
    <row r="7" spans="2:18" s="8" customFormat="1" ht="12.75" customHeight="1" x14ac:dyDescent="0.2">
      <c r="B7" s="8" t="s">
        <v>103</v>
      </c>
      <c r="F7" s="8" t="s">
        <v>104</v>
      </c>
      <c r="H7" s="8" t="s">
        <v>37</v>
      </c>
      <c r="J7" s="8" t="s">
        <v>38</v>
      </c>
      <c r="L7" s="8" t="s">
        <v>257</v>
      </c>
      <c r="M7" s="8" t="s">
        <v>73</v>
      </c>
      <c r="N7" s="8" t="s">
        <v>74</v>
      </c>
      <c r="O7" s="8" t="s">
        <v>75</v>
      </c>
      <c r="P7" s="8" t="s">
        <v>76</v>
      </c>
      <c r="R7" s="8" t="s">
        <v>39</v>
      </c>
    </row>
    <row r="10" spans="2:18" s="8" customFormat="1" x14ac:dyDescent="0.2">
      <c r="B10" s="8" t="s">
        <v>295</v>
      </c>
    </row>
    <row r="12" spans="2:18" x14ac:dyDescent="0.2">
      <c r="B12" s="19" t="s">
        <v>67</v>
      </c>
    </row>
    <row r="13" spans="2:18" x14ac:dyDescent="0.2">
      <c r="B13" s="2" t="s">
        <v>96</v>
      </c>
      <c r="F13" s="2" t="s">
        <v>88</v>
      </c>
      <c r="H13" s="97">
        <f>Parameters!H34</f>
        <v>6.0899999999999954E-2</v>
      </c>
    </row>
    <row r="14" spans="2:18" x14ac:dyDescent="0.2">
      <c r="B14" s="2" t="s">
        <v>97</v>
      </c>
      <c r="F14" s="2" t="s">
        <v>88</v>
      </c>
      <c r="H14" s="97">
        <f>Parameters!H35</f>
        <v>3.0000000000000027E-2</v>
      </c>
    </row>
    <row r="16" spans="2:18" x14ac:dyDescent="0.2">
      <c r="B16" s="1" t="s">
        <v>427</v>
      </c>
    </row>
    <row r="17" spans="2:16" x14ac:dyDescent="0.2">
      <c r="B17" s="2" t="s">
        <v>561</v>
      </c>
      <c r="F17" s="2" t="s">
        <v>108</v>
      </c>
      <c r="L17" s="26">
        <f>'Data on corrections'!L14</f>
        <v>405380.8600231274</v>
      </c>
      <c r="M17" s="48"/>
      <c r="N17" s="48"/>
      <c r="O17" s="48"/>
      <c r="P17" s="48"/>
    </row>
    <row r="18" spans="2:16" x14ac:dyDescent="0.2">
      <c r="B18" s="2" t="s">
        <v>430</v>
      </c>
      <c r="F18" s="2" t="s">
        <v>155</v>
      </c>
      <c r="L18" s="48"/>
      <c r="M18" s="26">
        <f>'Data on corrections'!M15</f>
        <v>-211260.54231172998</v>
      </c>
      <c r="N18" s="48"/>
      <c r="O18" s="48"/>
      <c r="P18" s="48"/>
    </row>
    <row r="19" spans="2:16" x14ac:dyDescent="0.2">
      <c r="B19" s="2" t="s">
        <v>441</v>
      </c>
      <c r="F19" s="2" t="s">
        <v>155</v>
      </c>
      <c r="L19" s="26">
        <f>'Data on corrections'!L18</f>
        <v>115799.73845607834</v>
      </c>
      <c r="M19" s="26">
        <f>'Data on corrections'!M18</f>
        <v>57622.023824131815</v>
      </c>
      <c r="N19" s="26">
        <f>'Data on corrections'!N18</f>
        <v>33866.56893080892</v>
      </c>
      <c r="O19" s="26">
        <f>'Data on corrections'!O18</f>
        <v>57536.881810847204</v>
      </c>
      <c r="P19" s="26">
        <f>'Data on corrections'!P18</f>
        <v>1175.3012775628376</v>
      </c>
    </row>
    <row r="20" spans="2:16" x14ac:dyDescent="0.2">
      <c r="B20" s="2" t="s">
        <v>562</v>
      </c>
      <c r="F20" s="2" t="s">
        <v>108</v>
      </c>
      <c r="L20" s="26">
        <f>'Data on corrections'!L21</f>
        <v>329217.37</v>
      </c>
      <c r="M20" s="120"/>
      <c r="N20" s="120"/>
      <c r="O20" s="120"/>
      <c r="P20" s="120"/>
    </row>
    <row r="22" spans="2:16" x14ac:dyDescent="0.2">
      <c r="B22" s="1" t="s">
        <v>428</v>
      </c>
    </row>
    <row r="23" spans="2:16" x14ac:dyDescent="0.2">
      <c r="B23" s="32" t="s">
        <v>388</v>
      </c>
      <c r="F23" s="2" t="s">
        <v>108</v>
      </c>
      <c r="L23" s="26">
        <f>'Volume-effect 2022'!L26</f>
        <v>174825.08927730285</v>
      </c>
      <c r="M23" s="26">
        <f>'Volume-effect 2022'!M26</f>
        <v>5999.9427135663573</v>
      </c>
      <c r="N23" s="26">
        <f>'Volume-effect 2022'!N26</f>
        <v>-27669.630366164376</v>
      </c>
      <c r="O23" s="26">
        <f>'Volume-effect 2022'!O26</f>
        <v>3996.2238201022847</v>
      </c>
      <c r="P23" s="26">
        <f>'Volume-effect 2022'!P26</f>
        <v>-11610.984784115171</v>
      </c>
    </row>
    <row r="24" spans="2:16" x14ac:dyDescent="0.2">
      <c r="B24" s="2" t="s">
        <v>403</v>
      </c>
      <c r="F24" s="2" t="s">
        <v>108</v>
      </c>
      <c r="L24" s="26">
        <f>'Profit Sharing 2022'!L59</f>
        <v>104495.36805618717</v>
      </c>
      <c r="M24" s="26">
        <f>'Profit Sharing 2022'!M59</f>
        <v>-154738.24656716338</v>
      </c>
      <c r="N24" s="26">
        <f>'Profit Sharing 2022'!N59</f>
        <v>-66757.483769669314</v>
      </c>
      <c r="O24" s="26">
        <f>'Profit Sharing 2022'!O59</f>
        <v>24204.78418460337</v>
      </c>
      <c r="P24" s="26">
        <f>'Profit Sharing 2022'!P59</f>
        <v>7736.5867585659398</v>
      </c>
    </row>
    <row r="25" spans="2:16" x14ac:dyDescent="0.2">
      <c r="B25" s="2" t="s">
        <v>415</v>
      </c>
      <c r="F25" s="2" t="s">
        <v>108</v>
      </c>
      <c r="L25" s="48"/>
      <c r="M25" s="26">
        <f>'Profit Sharing 2022'!M67</f>
        <v>-111601.01435110226</v>
      </c>
      <c r="N25" s="48"/>
      <c r="O25" s="26">
        <f>'Profit Sharing 2022'!O67</f>
        <v>179864.37459842642</v>
      </c>
      <c r="P25" s="48"/>
    </row>
    <row r="26" spans="2:16" x14ac:dyDescent="0.2">
      <c r="B26" s="2" t="s">
        <v>207</v>
      </c>
      <c r="F26" s="2" t="s">
        <v>155</v>
      </c>
      <c r="L26" s="48"/>
      <c r="M26" s="48"/>
      <c r="N26" s="26">
        <f>'Energy cost correction 2023'!N27</f>
        <v>-42216.387807881103</v>
      </c>
      <c r="O26" s="48"/>
      <c r="P26" s="48"/>
    </row>
    <row r="28" spans="2:16" x14ac:dyDescent="0.2">
      <c r="B28" s="1" t="s">
        <v>494</v>
      </c>
    </row>
    <row r="29" spans="2:16" x14ac:dyDescent="0.2">
      <c r="B29" s="2" t="s">
        <v>120</v>
      </c>
      <c r="F29" s="2" t="s">
        <v>114</v>
      </c>
      <c r="L29" s="48"/>
      <c r="M29" s="48"/>
      <c r="N29" s="48"/>
      <c r="O29" s="26">
        <f>'Capital cost correction'!O32</f>
        <v>552593.9795834719</v>
      </c>
      <c r="P29" s="48"/>
    </row>
    <row r="30" spans="2:16" x14ac:dyDescent="0.2">
      <c r="B30" s="2" t="s">
        <v>122</v>
      </c>
      <c r="F30" s="2" t="s">
        <v>114</v>
      </c>
      <c r="L30" s="48"/>
      <c r="M30" s="48"/>
      <c r="N30" s="48"/>
      <c r="O30" s="26">
        <f>'Capital cost correction'!O33</f>
        <v>37320.24144946337</v>
      </c>
      <c r="P30" s="48"/>
    </row>
    <row r="32" spans="2:16" s="8" customFormat="1" x14ac:dyDescent="0.2">
      <c r="B32" s="8" t="s">
        <v>426</v>
      </c>
    </row>
    <row r="34" spans="2:16" x14ac:dyDescent="0.2">
      <c r="B34" s="19" t="s">
        <v>495</v>
      </c>
    </row>
    <row r="35" spans="2:16" x14ac:dyDescent="0.2">
      <c r="B35" s="2" t="s">
        <v>561</v>
      </c>
      <c r="F35" s="2" t="s">
        <v>205</v>
      </c>
      <c r="J35" s="41">
        <f>SUM(L35:P35)</f>
        <v>430068.55439853587</v>
      </c>
      <c r="L35" s="27">
        <f>L17*(1+$H$13)</f>
        <v>430068.55439853587</v>
      </c>
      <c r="M35" s="48"/>
      <c r="N35" s="48"/>
      <c r="O35" s="48"/>
      <c r="P35" s="48"/>
    </row>
    <row r="36" spans="2:16" x14ac:dyDescent="0.2">
      <c r="B36" s="2" t="s">
        <v>441</v>
      </c>
      <c r="F36" s="2" t="s">
        <v>205</v>
      </c>
      <c r="J36" s="41">
        <f t="shared" ref="J36:J48" si="0">SUM(L36:P36)</f>
        <v>273980.52972841199</v>
      </c>
      <c r="L36" s="27">
        <f>L19*(1+$H$14)</f>
        <v>119273.73060976069</v>
      </c>
      <c r="M36" s="27">
        <f>M19*(1+$H$14)</f>
        <v>59350.68453885577</v>
      </c>
      <c r="N36" s="27">
        <f>N19*(1+$H$14)</f>
        <v>34882.565998733189</v>
      </c>
      <c r="O36" s="27">
        <f>O19*(1+$H$14)</f>
        <v>59262.988265172622</v>
      </c>
      <c r="P36" s="27">
        <f>P19*(1+$H$14)</f>
        <v>1210.5603158897227</v>
      </c>
    </row>
    <row r="37" spans="2:16" x14ac:dyDescent="0.2">
      <c r="B37" s="32" t="s">
        <v>388</v>
      </c>
      <c r="F37" s="2" t="s">
        <v>205</v>
      </c>
      <c r="J37" s="41">
        <f t="shared" si="0"/>
        <v>154404.06567692809</v>
      </c>
      <c r="L37" s="27">
        <f>L23*(1+$H$13)</f>
        <v>185471.93721429058</v>
      </c>
      <c r="M37" s="27">
        <f t="shared" ref="M37:P37" si="1">M23*(1+$H$13)</f>
        <v>6365.3392248225482</v>
      </c>
      <c r="N37" s="27">
        <f t="shared" si="1"/>
        <v>-29354.710855463785</v>
      </c>
      <c r="O37" s="27">
        <f t="shared" si="1"/>
        <v>4239.5938507465135</v>
      </c>
      <c r="P37" s="27">
        <f t="shared" si="1"/>
        <v>-12318.093757467785</v>
      </c>
    </row>
    <row r="38" spans="2:16" x14ac:dyDescent="0.2">
      <c r="B38" s="2" t="s">
        <v>403</v>
      </c>
      <c r="F38" s="2" t="s">
        <v>205</v>
      </c>
      <c r="J38" s="41">
        <f t="shared" si="0"/>
        <v>-90239.083909928493</v>
      </c>
      <c r="L38" s="27">
        <f>L24*(1+$H$13)</f>
        <v>110859.13597080897</v>
      </c>
      <c r="M38" s="27">
        <f t="shared" ref="M38:P38" si="2">M24*(1+$H$13)</f>
        <v>-164161.80578310363</v>
      </c>
      <c r="N38" s="27">
        <f t="shared" si="2"/>
        <v>-70823.014531242166</v>
      </c>
      <c r="O38" s="27">
        <f t="shared" si="2"/>
        <v>25678.855541445715</v>
      </c>
      <c r="P38" s="27">
        <f t="shared" si="2"/>
        <v>8207.7448921626055</v>
      </c>
    </row>
    <row r="39" spans="2:16" x14ac:dyDescent="0.2">
      <c r="B39" s="2" t="s">
        <v>207</v>
      </c>
      <c r="F39" s="2" t="s">
        <v>205</v>
      </c>
      <c r="J39" s="41">
        <f t="shared" si="0"/>
        <v>-43482.879442117541</v>
      </c>
      <c r="L39" s="48"/>
      <c r="M39" s="48"/>
      <c r="N39" s="27">
        <f>N26*(1+$H$14)</f>
        <v>-43482.879442117541</v>
      </c>
      <c r="O39" s="48"/>
      <c r="P39" s="48"/>
    </row>
    <row r="40" spans="2:16" x14ac:dyDescent="0.2">
      <c r="B40" s="2" t="s">
        <v>562</v>
      </c>
      <c r="F40" s="2" t="s">
        <v>205</v>
      </c>
      <c r="J40" s="41">
        <f t="shared" si="0"/>
        <v>349266.70783299999</v>
      </c>
      <c r="L40" s="36">
        <f>L20*(1+H13)</f>
        <v>349266.70783299999</v>
      </c>
      <c r="M40" s="48"/>
      <c r="N40" s="48"/>
      <c r="O40" s="48"/>
      <c r="P40" s="48"/>
    </row>
    <row r="41" spans="2:16" x14ac:dyDescent="0.2">
      <c r="J41" s="68"/>
    </row>
    <row r="42" spans="2:16" x14ac:dyDescent="0.2">
      <c r="B42" s="1" t="s">
        <v>496</v>
      </c>
      <c r="J42" s="68"/>
    </row>
    <row r="43" spans="2:16" x14ac:dyDescent="0.2">
      <c r="B43" s="2" t="s">
        <v>430</v>
      </c>
      <c r="F43" s="2" t="s">
        <v>205</v>
      </c>
      <c r="J43" s="41">
        <f t="shared" si="0"/>
        <v>-217598.35858108188</v>
      </c>
      <c r="L43" s="48"/>
      <c r="M43" s="27">
        <f>M18*(1+$H$14)</f>
        <v>-217598.35858108188</v>
      </c>
      <c r="N43" s="48"/>
      <c r="O43" s="48"/>
      <c r="P43" s="48"/>
    </row>
    <row r="44" spans="2:16" x14ac:dyDescent="0.2">
      <c r="B44" s="2" t="s">
        <v>448</v>
      </c>
      <c r="F44" s="2" t="s">
        <v>205</v>
      </c>
      <c r="J44" s="41">
        <f t="shared" si="0"/>
        <v>72420.598886386215</v>
      </c>
      <c r="L44" s="48"/>
      <c r="M44" s="27">
        <f>M25*(1+$H$13)</f>
        <v>-118397.51612508438</v>
      </c>
      <c r="N44" s="48"/>
      <c r="O44" s="27">
        <f>O25*(1+$H$13)</f>
        <v>190818.1150114706</v>
      </c>
      <c r="P44" s="48"/>
    </row>
    <row r="45" spans="2:16" x14ac:dyDescent="0.2">
      <c r="J45" s="68"/>
    </row>
    <row r="46" spans="2:16" x14ac:dyDescent="0.2">
      <c r="B46" s="1" t="s">
        <v>494</v>
      </c>
      <c r="J46" s="68"/>
    </row>
    <row r="47" spans="2:16" x14ac:dyDescent="0.2">
      <c r="B47" s="2" t="s">
        <v>120</v>
      </c>
      <c r="F47" s="2" t="s">
        <v>114</v>
      </c>
      <c r="J47" s="41">
        <f t="shared" si="0"/>
        <v>552593.9795834719</v>
      </c>
      <c r="L47" s="48"/>
      <c r="M47" s="48"/>
      <c r="N47" s="48"/>
      <c r="O47" s="41">
        <f>O29</f>
        <v>552593.9795834719</v>
      </c>
      <c r="P47" s="48"/>
    </row>
    <row r="48" spans="2:16" x14ac:dyDescent="0.2">
      <c r="B48" s="2" t="s">
        <v>122</v>
      </c>
      <c r="F48" s="2" t="s">
        <v>114</v>
      </c>
      <c r="J48" s="41">
        <f t="shared" si="0"/>
        <v>37320.24144946337</v>
      </c>
      <c r="L48" s="48"/>
      <c r="M48" s="48"/>
      <c r="N48" s="48"/>
      <c r="O48" s="41">
        <f>O30</f>
        <v>37320.24144946337</v>
      </c>
      <c r="P48" s="48"/>
    </row>
    <row r="51" spans="2:2" x14ac:dyDescent="0.2">
      <c r="B51" s="4" t="s">
        <v>65</v>
      </c>
    </row>
  </sheetData>
  <phoneticPr fontId="31" type="noConversion"/>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33C7A6-D0CD-4E9A-8AC4-964CA220C839}">
  <sheetPr>
    <tabColor theme="0" tint="-4.9989318521683403E-2"/>
  </sheetPr>
  <dimension ref="B2:B3"/>
  <sheetViews>
    <sheetView showGridLines="0" zoomScale="85" zoomScaleNormal="85" workbookViewId="0"/>
  </sheetViews>
  <sheetFormatPr defaultColWidth="9.140625" defaultRowHeight="12.75" x14ac:dyDescent="0.2"/>
  <cols>
    <col min="1" max="16384" width="9.140625" style="14"/>
  </cols>
  <sheetData>
    <row r="2" spans="2:2" x14ac:dyDescent="0.2">
      <c r="B2" s="33" t="s">
        <v>203</v>
      </c>
    </row>
    <row r="3" spans="2:2" x14ac:dyDescent="0.2">
      <c r="B3" s="33"/>
    </row>
  </sheetData>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126FDE-B20B-464F-A124-A312451D0D3D}">
  <sheetPr>
    <tabColor rgb="FFFFFFCC"/>
  </sheetPr>
  <dimension ref="A2:R81"/>
  <sheetViews>
    <sheetView showGridLines="0" zoomScale="85" zoomScaleNormal="85" workbookViewId="0">
      <pane xSplit="6" ySplit="12" topLeftCell="G13" activePane="bottomRight" state="frozen"/>
      <selection activeCell="U34" sqref="U34"/>
      <selection pane="topRight" activeCell="U34" sqref="U34"/>
      <selection pane="bottomLeft" activeCell="U34" sqref="U34"/>
      <selection pane="bottomRight" activeCell="G13" sqref="G13"/>
    </sheetView>
  </sheetViews>
  <sheetFormatPr defaultColWidth="9.140625" defaultRowHeight="12.75" x14ac:dyDescent="0.2"/>
  <cols>
    <col min="1" max="1" width="4.5703125" style="2" customWidth="1"/>
    <col min="2" max="2" width="64.28515625" style="2" customWidth="1"/>
    <col min="3" max="5" width="4.5703125" style="2" customWidth="1"/>
    <col min="6" max="6" width="15.42578125" style="2" customWidth="1"/>
    <col min="7" max="7" width="2.7109375" style="2" customWidth="1"/>
    <col min="8" max="8" width="13.7109375" style="2" customWidth="1"/>
    <col min="9" max="9" width="2.7109375" style="2" customWidth="1"/>
    <col min="10" max="10" width="13.7109375" style="2" customWidth="1"/>
    <col min="11" max="11" width="2.7109375" style="2" customWidth="1"/>
    <col min="12" max="16" width="21.7109375" style="2" customWidth="1"/>
    <col min="17" max="17" width="2.7109375" style="2" customWidth="1"/>
    <col min="18" max="18" width="30.7109375" style="2" customWidth="1"/>
    <col min="19" max="19" width="2.7109375" style="2" customWidth="1"/>
    <col min="20" max="29" width="12.5703125" style="2" customWidth="1"/>
    <col min="30" max="32" width="2.7109375" style="2" customWidth="1"/>
    <col min="33" max="47" width="13.7109375" style="2" customWidth="1"/>
    <col min="48" max="16384" width="9.140625" style="2"/>
  </cols>
  <sheetData>
    <row r="2" spans="2:18" s="12" customFormat="1" ht="18" x14ac:dyDescent="0.2">
      <c r="B2" s="12" t="s">
        <v>548</v>
      </c>
    </row>
    <row r="4" spans="2:18" x14ac:dyDescent="0.2">
      <c r="B4" s="19" t="s">
        <v>379</v>
      </c>
      <c r="C4" s="1"/>
      <c r="D4" s="1"/>
    </row>
    <row r="5" spans="2:18" x14ac:dyDescent="0.2">
      <c r="B5" s="2" t="s">
        <v>599</v>
      </c>
      <c r="C5" s="3"/>
      <c r="D5" s="3"/>
      <c r="H5" s="13"/>
    </row>
    <row r="6" spans="2:18" x14ac:dyDescent="0.2">
      <c r="C6" s="3"/>
      <c r="D6" s="3"/>
      <c r="H6" s="13"/>
    </row>
    <row r="7" spans="2:18" x14ac:dyDescent="0.2">
      <c r="B7" s="20" t="s">
        <v>69</v>
      </c>
      <c r="C7" s="3"/>
      <c r="D7" s="3"/>
      <c r="H7" s="13"/>
    </row>
    <row r="8" spans="2:18" x14ac:dyDescent="0.2">
      <c r="B8" s="20" t="s">
        <v>455</v>
      </c>
      <c r="C8" s="3"/>
      <c r="D8" s="3"/>
    </row>
    <row r="9" spans="2:18" x14ac:dyDescent="0.2">
      <c r="B9" s="4" t="s">
        <v>547</v>
      </c>
      <c r="C9" s="3"/>
      <c r="D9" s="3"/>
    </row>
    <row r="11" spans="2:18" s="8" customFormat="1" ht="12.75" customHeight="1" x14ac:dyDescent="0.2">
      <c r="B11" s="8" t="s">
        <v>103</v>
      </c>
      <c r="F11" s="8" t="s">
        <v>104</v>
      </c>
      <c r="H11" s="8" t="s">
        <v>37</v>
      </c>
      <c r="J11" s="8" t="s">
        <v>38</v>
      </c>
      <c r="L11" s="8" t="s">
        <v>257</v>
      </c>
      <c r="M11" s="8" t="s">
        <v>73</v>
      </c>
      <c r="N11" s="8" t="s">
        <v>74</v>
      </c>
      <c r="O11" s="8" t="s">
        <v>75</v>
      </c>
      <c r="P11" s="8" t="s">
        <v>76</v>
      </c>
      <c r="R11" s="8" t="s">
        <v>39</v>
      </c>
    </row>
    <row r="14" spans="2:18" s="8" customFormat="1" ht="12.75" customHeight="1" x14ac:dyDescent="0.2">
      <c r="B14" s="8" t="s">
        <v>258</v>
      </c>
    </row>
    <row r="15" spans="2:18" ht="12.75" customHeight="1" x14ac:dyDescent="0.2"/>
    <row r="16" spans="2:18" ht="12.75" customHeight="1" x14ac:dyDescent="0.2">
      <c r="B16" s="19" t="s">
        <v>67</v>
      </c>
    </row>
    <row r="17" spans="1:16" ht="12.75" customHeight="1" x14ac:dyDescent="0.2">
      <c r="B17" s="2" t="s">
        <v>87</v>
      </c>
      <c r="F17" s="2" t="s">
        <v>88</v>
      </c>
      <c r="H17" s="83">
        <f>Parameters!H27</f>
        <v>6.4000000000000001E-2</v>
      </c>
    </row>
    <row r="18" spans="1:16" ht="12.75" customHeight="1" x14ac:dyDescent="0.2">
      <c r="B18" s="2" t="s">
        <v>90</v>
      </c>
      <c r="F18" s="2" t="s">
        <v>88</v>
      </c>
      <c r="H18" s="83">
        <f>Parameters!H28</f>
        <v>-1.0999999999999999E-2</v>
      </c>
    </row>
    <row r="19" spans="1:16" ht="12.75" customHeight="1" x14ac:dyDescent="0.2">
      <c r="B19" s="2" t="s">
        <v>305</v>
      </c>
      <c r="F19" s="2" t="s">
        <v>88</v>
      </c>
      <c r="L19" s="84">
        <f>Parameters!H40</f>
        <v>6.4600000000000005E-2</v>
      </c>
      <c r="M19" s="84">
        <f>Parameters!H41</f>
        <v>5.7200000000000001E-2</v>
      </c>
      <c r="N19" s="84">
        <f>Parameters!H42</f>
        <v>6.3799999999999996E-2</v>
      </c>
      <c r="O19" s="84">
        <f>Parameters!H42</f>
        <v>6.3799999999999996E-2</v>
      </c>
      <c r="P19" s="84">
        <f>Parameters!H42</f>
        <v>6.3799999999999996E-2</v>
      </c>
    </row>
    <row r="20" spans="1:16" ht="12.75" customHeight="1" x14ac:dyDescent="0.2"/>
    <row r="21" spans="1:16" ht="12.75" customHeight="1" x14ac:dyDescent="0.2">
      <c r="B21" s="1" t="s">
        <v>261</v>
      </c>
    </row>
    <row r="22" spans="1:16" s="20" customFormat="1" ht="12.75" customHeight="1" x14ac:dyDescent="0.2">
      <c r="A22" s="2"/>
      <c r="B22" s="20" t="s">
        <v>36</v>
      </c>
      <c r="C22" s="2"/>
      <c r="D22" s="2"/>
      <c r="E22" s="2"/>
      <c r="F22" s="20" t="s">
        <v>124</v>
      </c>
      <c r="L22" s="20" t="s">
        <v>125</v>
      </c>
      <c r="M22" s="20" t="s">
        <v>126</v>
      </c>
      <c r="N22" s="20" t="s">
        <v>127</v>
      </c>
      <c r="O22" s="20" t="s">
        <v>128</v>
      </c>
      <c r="P22" s="20" t="s">
        <v>127</v>
      </c>
    </row>
    <row r="23" spans="1:16" ht="12.75" customHeight="1" x14ac:dyDescent="0.2">
      <c r="B23" s="2" t="s">
        <v>278</v>
      </c>
      <c r="F23" s="2" t="s">
        <v>124</v>
      </c>
      <c r="L23" s="85">
        <f>'Historical data'!L39</f>
        <v>15672434</v>
      </c>
      <c r="M23" s="85">
        <f>'Historical data'!M37</f>
        <v>18218.78</v>
      </c>
      <c r="N23" s="85">
        <f>'Historical data'!N37</f>
        <v>187656</v>
      </c>
      <c r="O23" s="85">
        <f>'Historical data'!O37</f>
        <v>1036.1666666666667</v>
      </c>
      <c r="P23" s="85">
        <f>'Historical data'!P37</f>
        <v>6147.1999999999989</v>
      </c>
    </row>
    <row r="24" spans="1:16" ht="12.75" customHeight="1" x14ac:dyDescent="0.2">
      <c r="B24" s="2" t="s">
        <v>443</v>
      </c>
      <c r="F24" s="2" t="s">
        <v>124</v>
      </c>
      <c r="L24" s="85">
        <f>'Estimates for 2024'!L22</f>
        <v>16551729.997999959</v>
      </c>
      <c r="M24" s="85">
        <f>'Estimates for 2024'!M65</f>
        <v>18840.837267081202</v>
      </c>
      <c r="N24" s="85">
        <f>'Estimates for 2024'!N14</f>
        <v>197952.55799999996</v>
      </c>
      <c r="O24" s="85">
        <f>'Estimates for 2024'!O68</f>
        <v>1149.8493807187922</v>
      </c>
      <c r="P24" s="85">
        <f>'Estimates for 2024'!P27</f>
        <v>1979.52558</v>
      </c>
    </row>
    <row r="25" spans="1:16" ht="12.75" customHeight="1" x14ac:dyDescent="0.2">
      <c r="B25" s="2" t="s">
        <v>259</v>
      </c>
      <c r="F25" s="2" t="s">
        <v>88</v>
      </c>
      <c r="L25" s="80"/>
      <c r="M25" s="80"/>
      <c r="N25" s="80"/>
      <c r="O25" s="80"/>
      <c r="P25" s="84">
        <f>'Estimates for 2024'!P28</f>
        <v>1.2820512820512822E-2</v>
      </c>
    </row>
    <row r="26" spans="1:16" ht="12.75" customHeight="1" x14ac:dyDescent="0.2"/>
    <row r="27" spans="1:16" ht="12.75" customHeight="1" x14ac:dyDescent="0.2">
      <c r="B27" s="1" t="s">
        <v>597</v>
      </c>
    </row>
    <row r="28" spans="1:16" ht="12.75" customHeight="1" x14ac:dyDescent="0.2">
      <c r="B28" s="2" t="s">
        <v>113</v>
      </c>
      <c r="F28" s="2" t="s">
        <v>114</v>
      </c>
      <c r="J28" s="41">
        <f>SUM(L28:P28)</f>
        <v>9099251.3823729344</v>
      </c>
      <c r="L28" s="85">
        <f>'Historical data'!L21</f>
        <v>2807790.6419269913</v>
      </c>
      <c r="M28" s="85">
        <f>'Historical data'!M21</f>
        <v>2099727.8190321838</v>
      </c>
      <c r="N28" s="85">
        <f>'Historical data'!N21</f>
        <v>1364182.3299102224</v>
      </c>
      <c r="O28" s="85">
        <f>'Historical data'!O21</f>
        <v>2826574.5199072561</v>
      </c>
      <c r="P28" s="85">
        <f>'Historical data'!P21</f>
        <v>976.07159627994554</v>
      </c>
    </row>
    <row r="29" spans="1:16" ht="12.75" customHeight="1" x14ac:dyDescent="0.2">
      <c r="B29" s="2" t="s">
        <v>270</v>
      </c>
      <c r="F29" s="2" t="s">
        <v>114</v>
      </c>
      <c r="J29" s="41">
        <f>SUM(L29:P29)</f>
        <v>884400.79669051722</v>
      </c>
      <c r="L29" s="85">
        <f>'Historical data'!L22</f>
        <v>369335.68785139988</v>
      </c>
      <c r="M29" s="85">
        <f>'Historical data'!M22</f>
        <v>198076.97728293162</v>
      </c>
      <c r="N29" s="85">
        <f>'Historical data'!N22</f>
        <v>122271.43611731179</v>
      </c>
      <c r="O29" s="85">
        <f>'Historical data'!O22</f>
        <v>194529.94154355564</v>
      </c>
      <c r="P29" s="85">
        <f>'Historical data'!P22</f>
        <v>186.75389531827514</v>
      </c>
    </row>
    <row r="30" spans="1:16" ht="12.75" customHeight="1" x14ac:dyDescent="0.2">
      <c r="B30" s="2" t="s">
        <v>271</v>
      </c>
      <c r="F30" s="2" t="s">
        <v>108</v>
      </c>
      <c r="J30" s="41">
        <f>SUM(L30:P30)</f>
        <v>4489359.1499999994</v>
      </c>
      <c r="L30" s="85">
        <f>'Historical data'!L14</f>
        <v>2007361.6478045504</v>
      </c>
      <c r="M30" s="85">
        <f>'Historical data'!M14</f>
        <v>1040667.8730083217</v>
      </c>
      <c r="N30" s="85">
        <f>'Historical data'!N14</f>
        <v>594864.90738965385</v>
      </c>
      <c r="O30" s="85">
        <f>'Historical data'!O14</f>
        <v>846464.72179747385</v>
      </c>
      <c r="P30" s="80"/>
    </row>
    <row r="31" spans="1:16" ht="12.75" customHeight="1" x14ac:dyDescent="0.2">
      <c r="B31" s="2" t="s">
        <v>272</v>
      </c>
      <c r="F31" s="2" t="s">
        <v>108</v>
      </c>
      <c r="J31" s="41">
        <f>SUM(L31:P31)</f>
        <v>511397.42999999993</v>
      </c>
      <c r="L31" s="85">
        <f>'Historical data'!L15</f>
        <v>2926.1146092557124</v>
      </c>
      <c r="M31" s="85">
        <f>'Historical data'!M15</f>
        <v>439515.27092647104</v>
      </c>
      <c r="N31" s="85">
        <f>'Historical data'!N15</f>
        <v>-838.2788484082314</v>
      </c>
      <c r="O31" s="85">
        <f>'Historical data'!O15</f>
        <v>69794.323312681474</v>
      </c>
      <c r="P31" s="80"/>
    </row>
    <row r="32" spans="1:16" ht="12.75" customHeight="1" x14ac:dyDescent="0.2">
      <c r="B32" s="2" t="s">
        <v>260</v>
      </c>
      <c r="F32" s="2" t="s">
        <v>108</v>
      </c>
      <c r="J32" s="41">
        <f>SUM(L32:P32)</f>
        <v>49022.047990702085</v>
      </c>
      <c r="L32" s="86"/>
      <c r="M32" s="86"/>
      <c r="N32" s="86"/>
      <c r="O32" s="85">
        <f>'Historical data'!O46</f>
        <v>49022.047990702085</v>
      </c>
      <c r="P32" s="80"/>
    </row>
    <row r="33" spans="2:16" ht="12.75" customHeight="1" x14ac:dyDescent="0.2"/>
    <row r="34" spans="2:16" ht="12.75" customHeight="1" x14ac:dyDescent="0.2">
      <c r="B34" s="1" t="s">
        <v>598</v>
      </c>
    </row>
    <row r="35" spans="2:16" ht="12.75" customHeight="1" x14ac:dyDescent="0.2">
      <c r="B35" s="2" t="s">
        <v>113</v>
      </c>
      <c r="F35" s="2" t="s">
        <v>114</v>
      </c>
      <c r="J35" s="41">
        <f>SUM(L35:P35)</f>
        <v>9099251.3823729344</v>
      </c>
      <c r="L35" s="85">
        <f>L28</f>
        <v>2807790.6419269913</v>
      </c>
      <c r="M35" s="85">
        <f t="shared" ref="M35:M38" si="0">M28</f>
        <v>2099727.8190321838</v>
      </c>
      <c r="N35" s="85">
        <f>N28</f>
        <v>1364182.3299102224</v>
      </c>
      <c r="O35" s="87">
        <f>O28*(1-$P$25)</f>
        <v>2790336.3850366506</v>
      </c>
      <c r="P35" s="87">
        <f>O28*$P$25+P28</f>
        <v>37214.206466885793</v>
      </c>
    </row>
    <row r="36" spans="2:16" ht="12.75" customHeight="1" x14ac:dyDescent="0.2">
      <c r="B36" s="2" t="s">
        <v>270</v>
      </c>
      <c r="F36" s="2" t="s">
        <v>114</v>
      </c>
      <c r="J36" s="41">
        <f>SUM(L36:P36)</f>
        <v>884400.79669051722</v>
      </c>
      <c r="L36" s="85">
        <f t="shared" ref="L36:L38" si="1">L29</f>
        <v>369335.68785139988</v>
      </c>
      <c r="M36" s="85">
        <f t="shared" si="0"/>
        <v>198076.97728293162</v>
      </c>
      <c r="N36" s="85">
        <f>N29</f>
        <v>122271.43611731179</v>
      </c>
      <c r="O36" s="87">
        <f>O29*(1-$P$25)</f>
        <v>192035.96793402289</v>
      </c>
      <c r="P36" s="87">
        <f>O29*$P$25+P29</f>
        <v>2680.7275048510401</v>
      </c>
    </row>
    <row r="37" spans="2:16" ht="12.75" customHeight="1" x14ac:dyDescent="0.2">
      <c r="B37" s="2" t="s">
        <v>273</v>
      </c>
      <c r="F37" s="2" t="s">
        <v>108</v>
      </c>
      <c r="J37" s="41">
        <f>SUM(L37:P37)</f>
        <v>4489359.1499999994</v>
      </c>
      <c r="L37" s="85">
        <f t="shared" si="1"/>
        <v>2007361.6478045504</v>
      </c>
      <c r="M37" s="85">
        <f t="shared" si="0"/>
        <v>1040667.8730083217</v>
      </c>
      <c r="N37" s="85">
        <f>N30</f>
        <v>594864.90738965385</v>
      </c>
      <c r="O37" s="87">
        <f>O30*(1-$P$25)</f>
        <v>835612.60997955757</v>
      </c>
      <c r="P37" s="87">
        <f>O30*$P$25</f>
        <v>10852.111817916333</v>
      </c>
    </row>
    <row r="38" spans="2:16" ht="12.75" customHeight="1" x14ac:dyDescent="0.2">
      <c r="B38" s="2" t="s">
        <v>272</v>
      </c>
      <c r="F38" s="2" t="s">
        <v>108</v>
      </c>
      <c r="J38" s="41">
        <f>SUM(L38:P38)</f>
        <v>511397.42999999993</v>
      </c>
      <c r="L38" s="85">
        <f t="shared" si="1"/>
        <v>2926.1146092557124</v>
      </c>
      <c r="M38" s="85">
        <f t="shared" si="0"/>
        <v>439515.27092647104</v>
      </c>
      <c r="N38" s="85">
        <f>N31</f>
        <v>-838.2788484082314</v>
      </c>
      <c r="O38" s="87">
        <f>O31*(1-$P$25)</f>
        <v>68899.524295852229</v>
      </c>
      <c r="P38" s="87">
        <f>O31*$P$25</f>
        <v>894.79901682924981</v>
      </c>
    </row>
    <row r="39" spans="2:16" ht="12.75" customHeight="1" x14ac:dyDescent="0.2">
      <c r="B39" s="2" t="s">
        <v>260</v>
      </c>
      <c r="F39" s="2" t="s">
        <v>108</v>
      </c>
      <c r="J39" s="41">
        <f>SUM(L39:P39)</f>
        <v>49022.047990702085</v>
      </c>
      <c r="L39" s="86"/>
      <c r="M39" s="86"/>
      <c r="N39" s="86"/>
      <c r="O39" s="85">
        <f>O32</f>
        <v>49022.047990702085</v>
      </c>
      <c r="P39" s="86"/>
    </row>
    <row r="40" spans="2:16" ht="12.75" customHeight="1" x14ac:dyDescent="0.2"/>
    <row r="41" spans="2:16" ht="12.75" customHeight="1" x14ac:dyDescent="0.2">
      <c r="B41" s="2" t="s">
        <v>274</v>
      </c>
      <c r="F41" s="2" t="s">
        <v>88</v>
      </c>
      <c r="L41" s="88">
        <f>'Historical data'!L25</f>
        <v>0.19410125059831115</v>
      </c>
      <c r="M41" s="88">
        <f>'Historical data'!M25</f>
        <v>0.27580884597893079</v>
      </c>
      <c r="N41" s="88">
        <f>'Historical data'!N25</f>
        <v>0.12889013723645187</v>
      </c>
      <c r="O41" s="88">
        <f>'Historical data'!O25</f>
        <v>0.30232576550308171</v>
      </c>
      <c r="P41" s="88">
        <f>'Historical data'!P25</f>
        <v>0.30232576550308171</v>
      </c>
    </row>
    <row r="42" spans="2:16" ht="12.75" customHeight="1" x14ac:dyDescent="0.2">
      <c r="B42" s="2" t="s">
        <v>275</v>
      </c>
      <c r="F42" s="2" t="s">
        <v>88</v>
      </c>
      <c r="L42" s="88">
        <f>'Historical data'!L26</f>
        <v>0</v>
      </c>
      <c r="M42" s="88">
        <f>'Historical data'!M26</f>
        <v>0.5</v>
      </c>
      <c r="N42" s="88">
        <f>'Historical data'!N26</f>
        <v>0</v>
      </c>
      <c r="O42" s="88">
        <f>'Historical data'!O26</f>
        <v>0.5</v>
      </c>
      <c r="P42" s="88">
        <f>'Historical data'!P26</f>
        <v>0.5</v>
      </c>
    </row>
    <row r="43" spans="2:16" ht="12.75" customHeight="1" x14ac:dyDescent="0.2"/>
    <row r="44" spans="2:16" ht="12.75" customHeight="1" x14ac:dyDescent="0.2">
      <c r="B44" s="1" t="s">
        <v>494</v>
      </c>
    </row>
    <row r="45" spans="2:16" ht="12.75" customHeight="1" x14ac:dyDescent="0.2">
      <c r="B45" s="2" t="s">
        <v>276</v>
      </c>
      <c r="F45" s="2" t="s">
        <v>114</v>
      </c>
      <c r="J45" s="41">
        <f>SUM(L45:P45)</f>
        <v>552593.9795834719</v>
      </c>
      <c r="L45" s="10"/>
      <c r="M45" s="10"/>
      <c r="N45" s="10"/>
      <c r="O45" s="85">
        <f>'Overview corrections'!O47</f>
        <v>552593.9795834719</v>
      </c>
      <c r="P45" s="10"/>
    </row>
    <row r="46" spans="2:16" ht="12.75" customHeight="1" x14ac:dyDescent="0.2">
      <c r="B46" s="2" t="s">
        <v>277</v>
      </c>
      <c r="F46" s="2" t="s">
        <v>114</v>
      </c>
      <c r="J46" s="41">
        <f>SUM(L46:P46)</f>
        <v>37320.24144946337</v>
      </c>
      <c r="L46" s="10"/>
      <c r="M46" s="10"/>
      <c r="N46" s="10"/>
      <c r="O46" s="85">
        <f>'Overview corrections'!O48</f>
        <v>37320.24144946337</v>
      </c>
      <c r="P46" s="10"/>
    </row>
    <row r="47" spans="2:16" ht="12.75" customHeight="1" x14ac:dyDescent="0.2"/>
    <row r="48" spans="2:16" ht="12.75" customHeight="1" x14ac:dyDescent="0.2">
      <c r="B48" s="1" t="s">
        <v>571</v>
      </c>
    </row>
    <row r="49" spans="1:18" ht="12.75" customHeight="1" x14ac:dyDescent="0.2">
      <c r="B49" s="2" t="s">
        <v>572</v>
      </c>
      <c r="F49" s="2" t="s">
        <v>114</v>
      </c>
      <c r="J49" s="41">
        <f>SUM(L49:P49)</f>
        <v>147382.57311481124</v>
      </c>
      <c r="L49" s="26">
        <f>'Major occurrences'!L52</f>
        <v>147382.57311481124</v>
      </c>
      <c r="M49" s="48"/>
      <c r="N49" s="48"/>
      <c r="O49" s="48"/>
      <c r="P49" s="48"/>
    </row>
    <row r="50" spans="1:18" ht="12.75" customHeight="1" x14ac:dyDescent="0.2">
      <c r="A50" s="93"/>
    </row>
    <row r="51" spans="1:18" s="8" customFormat="1" ht="12.75" customHeight="1" x14ac:dyDescent="0.2">
      <c r="B51" s="8" t="s">
        <v>262</v>
      </c>
    </row>
    <row r="52" spans="1:18" ht="12.75" customHeight="1" x14ac:dyDescent="0.25">
      <c r="M52" s="89"/>
      <c r="N52" s="89"/>
      <c r="O52" s="89"/>
      <c r="P52" s="89"/>
    </row>
    <row r="53" spans="1:18" ht="12.75" customHeight="1" x14ac:dyDescent="0.25">
      <c r="B53" s="1" t="s">
        <v>263</v>
      </c>
      <c r="M53" s="89"/>
      <c r="N53" s="89"/>
      <c r="O53" s="89"/>
      <c r="P53" s="89"/>
    </row>
    <row r="54" spans="1:18" ht="12.75" customHeight="1" x14ac:dyDescent="0.2">
      <c r="B54" s="2" t="s">
        <v>487</v>
      </c>
      <c r="F54" s="2" t="s">
        <v>108</v>
      </c>
      <c r="J54" s="41">
        <f>SUM(L54:P54)</f>
        <v>2919702.546126198</v>
      </c>
      <c r="L54" s="41">
        <f>L37*(1-L41)-L38</f>
        <v>1614804.1269533448</v>
      </c>
      <c r="M54" s="41">
        <f>M37*(1-M41)-M38</f>
        <v>314127.19698007702</v>
      </c>
      <c r="N54" s="41">
        <f>N37*(1-N41)-N38</f>
        <v>519030.96668746037</v>
      </c>
      <c r="O54" s="81">
        <f>O37*(1-O41)-O38-O39</f>
        <v>465063.81571690546</v>
      </c>
      <c r="P54" s="41">
        <f>P37*(1-P41)-P38</f>
        <v>6676.4397884104874</v>
      </c>
      <c r="R54" s="2" t="s">
        <v>264</v>
      </c>
    </row>
    <row r="55" spans="1:18" ht="12.75" customHeight="1" x14ac:dyDescent="0.2">
      <c r="B55" s="2" t="s">
        <v>488</v>
      </c>
      <c r="F55" s="2" t="s">
        <v>108</v>
      </c>
      <c r="J55" s="41">
        <f>SUM(L55:P55)</f>
        <v>1009237.1258830996</v>
      </c>
      <c r="L55" s="41">
        <f>L37*L41</f>
        <v>389631.40624194982</v>
      </c>
      <c r="M55" s="41">
        <f>M37*M41</f>
        <v>287025.40510177374</v>
      </c>
      <c r="N55" s="41">
        <f>N37*N41</f>
        <v>76672.219550601716</v>
      </c>
      <c r="O55" s="41">
        <f>O37*O41</f>
        <v>252627.22197609779</v>
      </c>
      <c r="P55" s="41">
        <f>P37*P41</f>
        <v>3280.873012676595</v>
      </c>
    </row>
    <row r="56" spans="1:18" ht="12.75" customHeight="1" x14ac:dyDescent="0.2">
      <c r="B56" s="2" t="s">
        <v>489</v>
      </c>
      <c r="F56" s="2" t="s">
        <v>279</v>
      </c>
      <c r="L56" s="74">
        <f>L55/L23</f>
        <v>2.4860937761291568E-2</v>
      </c>
      <c r="M56" s="36">
        <f>M55/M23</f>
        <v>15.754370221374524</v>
      </c>
      <c r="N56" s="36">
        <f>N55/N23</f>
        <v>0.40857856690221317</v>
      </c>
      <c r="O56" s="36">
        <f>O55/O23</f>
        <v>243.8094469770929</v>
      </c>
      <c r="P56" s="36">
        <f>P55/P23</f>
        <v>0.53371828030267365</v>
      </c>
    </row>
    <row r="57" spans="1:18" ht="12.75" customHeight="1" x14ac:dyDescent="0.25">
      <c r="M57" s="89"/>
      <c r="N57" s="89"/>
      <c r="O57" s="89"/>
      <c r="P57" s="89"/>
    </row>
    <row r="58" spans="1:18" ht="12.75" customHeight="1" x14ac:dyDescent="0.25">
      <c r="B58" s="1" t="s">
        <v>265</v>
      </c>
      <c r="M58" s="89"/>
      <c r="N58" s="90"/>
      <c r="O58" s="89"/>
      <c r="P58" s="89"/>
    </row>
    <row r="59" spans="1:18" ht="12.75" customHeight="1" x14ac:dyDescent="0.2">
      <c r="B59" s="2" t="s">
        <v>266</v>
      </c>
      <c r="F59" s="2" t="s">
        <v>114</v>
      </c>
      <c r="J59" s="41">
        <f>SUM(L59:P59)</f>
        <v>1453321.0637938394</v>
      </c>
      <c r="L59" s="41">
        <f>L19*L35+L36</f>
        <v>550718.96331988357</v>
      </c>
      <c r="M59" s="41">
        <f>M19*M35+M36</f>
        <v>318181.40853157255</v>
      </c>
      <c r="N59" s="41">
        <f>N19*N35+N36</f>
        <v>209306.26876558398</v>
      </c>
      <c r="O59" s="41">
        <f>O19*O35+O36</f>
        <v>370059.42929936119</v>
      </c>
      <c r="P59" s="41">
        <f>P19*P35+P36</f>
        <v>5054.9938774383536</v>
      </c>
    </row>
    <row r="60" spans="1:18" ht="12.75" customHeight="1" x14ac:dyDescent="0.2">
      <c r="B60" s="2" t="s">
        <v>280</v>
      </c>
      <c r="F60" s="2" t="s">
        <v>114</v>
      </c>
      <c r="J60" s="41">
        <f>SUM(L60:P60)</f>
        <v>1106673.1479396536</v>
      </c>
      <c r="L60" s="41">
        <f>L59*(1-L42)</f>
        <v>550718.96331988357</v>
      </c>
      <c r="M60" s="41">
        <f>M59*(1-M42)</f>
        <v>159090.70426578628</v>
      </c>
      <c r="N60" s="41">
        <f>N59*(1-N42)</f>
        <v>209306.26876558398</v>
      </c>
      <c r="O60" s="41">
        <f>O59*(1-O42)</f>
        <v>185029.71464968059</v>
      </c>
      <c r="P60" s="41">
        <f>P59*(1-P42)</f>
        <v>2527.4969387191768</v>
      </c>
      <c r="R60" s="18"/>
    </row>
    <row r="61" spans="1:18" ht="12.75" customHeight="1" x14ac:dyDescent="0.2">
      <c r="B61" s="2" t="s">
        <v>281</v>
      </c>
      <c r="F61" s="2" t="s">
        <v>114</v>
      </c>
      <c r="J61" s="41">
        <f>SUM(L61:P61)</f>
        <v>346647.91585418605</v>
      </c>
      <c r="L61" s="41">
        <f>L59*L42</f>
        <v>0</v>
      </c>
      <c r="M61" s="41">
        <f>M59*M42</f>
        <v>159090.70426578628</v>
      </c>
      <c r="N61" s="41">
        <f>N59*N42</f>
        <v>0</v>
      </c>
      <c r="O61" s="41">
        <f>O59*O42</f>
        <v>185029.71464968059</v>
      </c>
      <c r="P61" s="41">
        <f>P59*P42</f>
        <v>2527.4969387191768</v>
      </c>
    </row>
    <row r="62" spans="1:18" ht="12.75" customHeight="1" x14ac:dyDescent="0.2">
      <c r="B62" s="2" t="s">
        <v>267</v>
      </c>
      <c r="F62" s="2" t="s">
        <v>114</v>
      </c>
      <c r="J62" s="41">
        <f>SUM(L62:P62)</f>
        <v>72575.737346888869</v>
      </c>
      <c r="L62" s="82"/>
      <c r="M62" s="82"/>
      <c r="N62" s="82"/>
      <c r="O62" s="41">
        <f>O45*$O$19+O46</f>
        <v>72575.737346888869</v>
      </c>
      <c r="P62" s="82"/>
      <c r="R62" s="2" t="s">
        <v>282</v>
      </c>
    </row>
    <row r="63" spans="1:18" ht="12.75" customHeight="1" x14ac:dyDescent="0.2">
      <c r="B63" s="2" t="s">
        <v>283</v>
      </c>
      <c r="F63" s="2" t="s">
        <v>268</v>
      </c>
      <c r="L63" s="36">
        <f>L61/L23</f>
        <v>0</v>
      </c>
      <c r="M63" s="36">
        <f>M61/M23</f>
        <v>8.7322369700817664</v>
      </c>
      <c r="N63" s="36">
        <f>N61/N23</f>
        <v>0</v>
      </c>
      <c r="O63" s="48"/>
      <c r="P63" s="36">
        <f>P61/P23</f>
        <v>0.41116230783432739</v>
      </c>
    </row>
    <row r="64" spans="1:18" ht="12.75" customHeight="1" x14ac:dyDescent="0.2">
      <c r="B64" s="2" t="s">
        <v>269</v>
      </c>
      <c r="F64" s="2" t="s">
        <v>268</v>
      </c>
      <c r="L64" s="48"/>
      <c r="M64" s="48"/>
      <c r="N64" s="48"/>
      <c r="O64" s="91">
        <f>O62/(O24-O23)</f>
        <v>638.40609323957256</v>
      </c>
      <c r="P64" s="48"/>
      <c r="R64" s="2" t="s">
        <v>282</v>
      </c>
    </row>
    <row r="66" spans="2:18" s="8" customFormat="1" x14ac:dyDescent="0.2">
      <c r="B66" s="8" t="s">
        <v>432</v>
      </c>
    </row>
    <row r="67" spans="2:18" ht="12.75" customHeight="1" x14ac:dyDescent="0.25">
      <c r="M67" s="89"/>
      <c r="N67" s="89"/>
      <c r="O67" s="89"/>
      <c r="P67" s="89"/>
    </row>
    <row r="68" spans="2:18" ht="12.75" customHeight="1" x14ac:dyDescent="0.25">
      <c r="B68" s="1" t="s">
        <v>433</v>
      </c>
      <c r="M68" s="89"/>
      <c r="N68" s="89"/>
      <c r="O68" s="89"/>
      <c r="P68" s="89"/>
    </row>
    <row r="69" spans="2:18" ht="12.75" customHeight="1" x14ac:dyDescent="0.2">
      <c r="B69" s="2" t="s">
        <v>284</v>
      </c>
      <c r="F69" s="2" t="s">
        <v>205</v>
      </c>
      <c r="J69" s="41">
        <f>SUM(L69:P69)</f>
        <v>4326447.031532879</v>
      </c>
      <c r="L69" s="41">
        <f>L54*(1+$H$17)*(1+$H$18)+L60+L49</f>
        <v>2397353.4600111921</v>
      </c>
      <c r="M69" s="41">
        <f>M54*(1+$H$17)*(1+$H$18)+M60</f>
        <v>489645.4971391334</v>
      </c>
      <c r="N69" s="41">
        <f>N54*(1+$H$17)*(1+$H$18)+N60</f>
        <v>755480.47888693179</v>
      </c>
      <c r="O69" s="41">
        <f>O54*(1+$H$17)*(1+$H$18)+O60</f>
        <v>674414.50767331733</v>
      </c>
      <c r="P69" s="41">
        <f>P54*(1+$H$17)*(1+$H$18)+P60</f>
        <v>9553.0878223043801</v>
      </c>
    </row>
    <row r="70" spans="2:18" ht="12.75" customHeight="1" x14ac:dyDescent="0.2">
      <c r="B70" s="2" t="s">
        <v>285</v>
      </c>
      <c r="F70" s="2" t="s">
        <v>205</v>
      </c>
      <c r="J70" s="41">
        <f>SUM(L70:P70)</f>
        <v>185029.71464968059</v>
      </c>
      <c r="L70" s="48"/>
      <c r="M70" s="48"/>
      <c r="N70" s="48"/>
      <c r="O70" s="85">
        <f>O61</f>
        <v>185029.71464968059</v>
      </c>
      <c r="P70" s="48"/>
      <c r="R70" s="2" t="s">
        <v>286</v>
      </c>
    </row>
    <row r="71" spans="2:18" ht="12.75" customHeight="1" x14ac:dyDescent="0.2">
      <c r="B71" s="2" t="s">
        <v>287</v>
      </c>
      <c r="F71" s="2" t="s">
        <v>288</v>
      </c>
      <c r="L71" s="74">
        <f>L56*(1+$H$17)*(1+$H$18)+L63</f>
        <v>2.6161065362456073E-2</v>
      </c>
      <c r="M71" s="36">
        <f>M56*(1+$H$17)*(1+$H$18)+M63</f>
        <v>25.310497736553295</v>
      </c>
      <c r="N71" s="36">
        <f>N56*(1+$H$17)*(1+$H$18)+N63</f>
        <v>0.4299455916369313</v>
      </c>
      <c r="O71" s="48"/>
      <c r="P71" s="36">
        <f>P56*(1+$H$17)*(1+$H$18)+P63</f>
        <v>0.97279191932370968</v>
      </c>
    </row>
    <row r="72" spans="2:18" ht="12.75" customHeight="1" x14ac:dyDescent="0.2">
      <c r="B72" s="2" t="s">
        <v>289</v>
      </c>
      <c r="F72" s="2" t="s">
        <v>288</v>
      </c>
      <c r="L72" s="48"/>
      <c r="M72" s="48"/>
      <c r="N72" s="48"/>
      <c r="O72" s="36">
        <f>O56*(1+$H$17)*(1+$H$18)</f>
        <v>256.55970581620693</v>
      </c>
      <c r="P72" s="48"/>
    </row>
    <row r="73" spans="2:18" ht="12.75" customHeight="1" x14ac:dyDescent="0.2">
      <c r="B73" s="2" t="s">
        <v>290</v>
      </c>
      <c r="F73" s="2" t="s">
        <v>288</v>
      </c>
      <c r="L73" s="48"/>
      <c r="M73" s="48"/>
      <c r="N73" s="48"/>
      <c r="O73" s="92">
        <f>O64</f>
        <v>638.40609323957256</v>
      </c>
      <c r="P73" s="48"/>
      <c r="R73" s="2" t="s">
        <v>291</v>
      </c>
    </row>
    <row r="75" spans="2:18" x14ac:dyDescent="0.2">
      <c r="B75" s="1" t="s">
        <v>296</v>
      </c>
    </row>
    <row r="76" spans="2:18" x14ac:dyDescent="0.2">
      <c r="B76" s="2" t="s">
        <v>293</v>
      </c>
      <c r="F76" s="2" t="s">
        <v>205</v>
      </c>
      <c r="J76" s="41">
        <f>SUM(L76:P76)</f>
        <v>5875973.8578759115</v>
      </c>
      <c r="L76" s="21">
        <f>L69+L71*L24</f>
        <v>2830364.3503505941</v>
      </c>
      <c r="M76" s="21">
        <f>M69+M71*M24</f>
        <v>966516.46614236105</v>
      </c>
      <c r="N76" s="21">
        <f>N69+N71*N24</f>
        <v>840589.30855228577</v>
      </c>
      <c r="O76" s="21">
        <f>O69+O70+O72*O24+O73*(O24-O23)</f>
        <v>1227024.9785200479</v>
      </c>
      <c r="P76" s="21">
        <f>P69+P71*P24</f>
        <v>11478.75431062296</v>
      </c>
      <c r="R76" s="2" t="s">
        <v>294</v>
      </c>
    </row>
    <row r="79" spans="2:18" x14ac:dyDescent="0.2">
      <c r="B79" s="4" t="s">
        <v>65</v>
      </c>
    </row>
    <row r="81" spans="2:2" x14ac:dyDescent="0.2">
      <c r="B81" s="4"/>
    </row>
  </sheetData>
  <pageMargins left="0.7" right="0.7" top="0.75" bottom="0.75" header="0.3" footer="0.3"/>
  <pageSetup paperSize="9" orientation="portrait" r:id="rId1"/>
  <legacy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070C7C-27E7-4904-A897-12A386B7322B}">
  <sheetPr>
    <tabColor rgb="FFFFFFCC"/>
  </sheetPr>
  <dimension ref="B2:R37"/>
  <sheetViews>
    <sheetView showGridLines="0" zoomScale="85" zoomScaleNormal="85" workbookViewId="0">
      <pane xSplit="6" ySplit="8" topLeftCell="G9" activePane="bottomRight" state="frozen"/>
      <selection activeCell="H13" sqref="H13"/>
      <selection pane="topRight" activeCell="H13" sqref="H13"/>
      <selection pane="bottomLeft" activeCell="H13" sqref="H13"/>
      <selection pane="bottomRight" activeCell="G9" sqref="G9"/>
    </sheetView>
  </sheetViews>
  <sheetFormatPr defaultColWidth="9.140625" defaultRowHeight="12.75" x14ac:dyDescent="0.2"/>
  <cols>
    <col min="1" max="1" width="4.5703125" style="2" customWidth="1"/>
    <col min="2" max="2" width="64.28515625" style="2" customWidth="1"/>
    <col min="3" max="5" width="4.5703125" style="2" customWidth="1"/>
    <col min="6" max="6" width="15.42578125" style="2" customWidth="1"/>
    <col min="7" max="7" width="2.7109375" style="2" customWidth="1"/>
    <col min="8" max="8" width="13.7109375" style="2" customWidth="1"/>
    <col min="9" max="9" width="2.7109375" style="2" customWidth="1"/>
    <col min="10" max="10" width="13.7109375" style="2" customWidth="1"/>
    <col min="11" max="11" width="2.7109375" style="2" customWidth="1"/>
    <col min="12" max="16" width="21.7109375" style="2" customWidth="1"/>
    <col min="17" max="17" width="2.7109375" style="2" customWidth="1"/>
    <col min="18" max="18" width="30.7109375" style="2" customWidth="1"/>
    <col min="19" max="19" width="2.7109375" style="2" customWidth="1"/>
    <col min="20" max="29" width="12.5703125" style="2" customWidth="1"/>
    <col min="30" max="32" width="2.7109375" style="2" customWidth="1"/>
    <col min="33" max="47" width="13.7109375" style="2" customWidth="1"/>
    <col min="48" max="16384" width="9.140625" style="2"/>
  </cols>
  <sheetData>
    <row r="2" spans="2:18" s="12" customFormat="1" ht="18" x14ac:dyDescent="0.2">
      <c r="B2" s="12" t="s">
        <v>606</v>
      </c>
    </row>
    <row r="4" spans="2:18" x14ac:dyDescent="0.2">
      <c r="B4" s="19" t="s">
        <v>12</v>
      </c>
      <c r="C4" s="1"/>
      <c r="D4" s="1"/>
    </row>
    <row r="5" spans="2:18" x14ac:dyDescent="0.2">
      <c r="B5" s="2" t="s">
        <v>600</v>
      </c>
      <c r="C5" s="3"/>
      <c r="D5" s="3"/>
      <c r="H5" s="13"/>
    </row>
    <row r="6" spans="2:18" x14ac:dyDescent="0.2">
      <c r="C6" s="3"/>
      <c r="D6" s="3"/>
      <c r="H6" s="13"/>
    </row>
    <row r="7" spans="2:18" s="8" customFormat="1" ht="12.75" customHeight="1" x14ac:dyDescent="0.2">
      <c r="B7" s="8" t="s">
        <v>103</v>
      </c>
      <c r="F7" s="8" t="s">
        <v>104</v>
      </c>
      <c r="H7" s="8" t="s">
        <v>37</v>
      </c>
      <c r="J7" s="8" t="s">
        <v>38</v>
      </c>
      <c r="L7" s="8" t="s">
        <v>257</v>
      </c>
      <c r="M7" s="8" t="s">
        <v>73</v>
      </c>
      <c r="N7" s="8" t="s">
        <v>74</v>
      </c>
      <c r="O7" s="8" t="s">
        <v>75</v>
      </c>
      <c r="P7" s="8" t="s">
        <v>76</v>
      </c>
      <c r="R7" s="8" t="s">
        <v>39</v>
      </c>
    </row>
    <row r="10" spans="2:18" s="8" customFormat="1" x14ac:dyDescent="0.2">
      <c r="B10" s="8" t="s">
        <v>295</v>
      </c>
    </row>
    <row r="12" spans="2:18" x14ac:dyDescent="0.2">
      <c r="B12" s="19" t="s">
        <v>301</v>
      </c>
    </row>
    <row r="13" spans="2:18" ht="12.75" customHeight="1" x14ac:dyDescent="0.2">
      <c r="B13" s="2" t="s">
        <v>297</v>
      </c>
      <c r="F13" s="2" t="s">
        <v>142</v>
      </c>
      <c r="L13" s="94">
        <f>'Estimates for 2024'!L35</f>
        <v>0.27626522408947457</v>
      </c>
      <c r="M13" s="48"/>
      <c r="N13" s="48"/>
      <c r="O13" s="48"/>
      <c r="P13" s="48"/>
    </row>
    <row r="14" spans="2:18" ht="12.75" customHeight="1" x14ac:dyDescent="0.2">
      <c r="B14" s="2" t="s">
        <v>298</v>
      </c>
      <c r="F14" s="2" t="s">
        <v>88</v>
      </c>
      <c r="L14" s="88">
        <f>'Estimates for 2024'!L24</f>
        <v>0.51666683778875944</v>
      </c>
      <c r="M14" s="48"/>
      <c r="N14" s="48"/>
      <c r="O14" s="48"/>
      <c r="P14" s="48"/>
    </row>
    <row r="15" spans="2:18" ht="12.75" customHeight="1" x14ac:dyDescent="0.2">
      <c r="B15" s="2" t="s">
        <v>143</v>
      </c>
      <c r="F15" s="2" t="s">
        <v>144</v>
      </c>
      <c r="L15" s="94">
        <f>'Historical data'!H31</f>
        <v>0.98250869816863085</v>
      </c>
      <c r="M15" s="48"/>
      <c r="N15" s="48"/>
      <c r="O15" s="48"/>
      <c r="P15" s="48"/>
    </row>
    <row r="16" spans="2:18" ht="12.75" customHeight="1" x14ac:dyDescent="0.2">
      <c r="B16" s="2" t="s">
        <v>299</v>
      </c>
      <c r="F16" s="2" t="s">
        <v>125</v>
      </c>
      <c r="L16" s="85">
        <f>'Estimates for 2024'!L22</f>
        <v>16551729.997999959</v>
      </c>
      <c r="M16" s="48"/>
      <c r="N16" s="48"/>
      <c r="O16" s="48"/>
      <c r="P16" s="48"/>
    </row>
    <row r="18" spans="2:16" x14ac:dyDescent="0.2">
      <c r="B18" s="19" t="s">
        <v>296</v>
      </c>
    </row>
    <row r="19" spans="2:16" x14ac:dyDescent="0.2">
      <c r="B19" s="2" t="s">
        <v>439</v>
      </c>
      <c r="F19" s="2" t="s">
        <v>205</v>
      </c>
      <c r="L19" s="85">
        <f>'Calculation cost base 2024'!L76</f>
        <v>2830364.3503505941</v>
      </c>
      <c r="M19" s="48"/>
      <c r="N19" s="48"/>
      <c r="O19" s="48"/>
      <c r="P19" s="48"/>
    </row>
    <row r="20" spans="2:16" x14ac:dyDescent="0.2">
      <c r="B20" s="2" t="s">
        <v>209</v>
      </c>
      <c r="F20" s="2" t="s">
        <v>205</v>
      </c>
      <c r="L20" s="85">
        <f>'Overview corrections'!L35</f>
        <v>430068.55439853587</v>
      </c>
      <c r="M20" s="48"/>
      <c r="N20" s="48"/>
      <c r="O20" s="48"/>
      <c r="P20" s="48"/>
    </row>
    <row r="21" spans="2:16" x14ac:dyDescent="0.2">
      <c r="B21" s="2" t="s">
        <v>536</v>
      </c>
      <c r="F21" s="2" t="s">
        <v>205</v>
      </c>
      <c r="L21" s="85">
        <f>'Overview corrections'!L40</f>
        <v>349266.70783299999</v>
      </c>
      <c r="M21" s="48"/>
      <c r="N21" s="48"/>
      <c r="O21" s="48"/>
      <c r="P21" s="48"/>
    </row>
    <row r="22" spans="2:16" x14ac:dyDescent="0.2">
      <c r="B22" s="2" t="s">
        <v>441</v>
      </c>
      <c r="F22" s="2" t="s">
        <v>205</v>
      </c>
      <c r="L22" s="85">
        <f>'Overview corrections'!L36</f>
        <v>119273.73060976069</v>
      </c>
      <c r="M22" s="48"/>
      <c r="N22" s="48"/>
      <c r="O22" s="48"/>
      <c r="P22" s="48"/>
    </row>
    <row r="23" spans="2:16" x14ac:dyDescent="0.2">
      <c r="B23" s="32" t="s">
        <v>388</v>
      </c>
      <c r="F23" s="2" t="s">
        <v>205</v>
      </c>
      <c r="L23" s="85">
        <f>'Overview corrections'!L37</f>
        <v>185471.93721429058</v>
      </c>
      <c r="M23" s="48"/>
      <c r="N23" s="48"/>
      <c r="O23" s="48"/>
      <c r="P23" s="48"/>
    </row>
    <row r="24" spans="2:16" x14ac:dyDescent="0.2">
      <c r="B24" s="2" t="s">
        <v>403</v>
      </c>
      <c r="F24" s="2" t="s">
        <v>205</v>
      </c>
      <c r="L24" s="85">
        <f>'Overview corrections'!L38</f>
        <v>110859.13597080897</v>
      </c>
      <c r="M24" s="48"/>
      <c r="N24" s="48"/>
      <c r="O24" s="48"/>
      <c r="P24" s="48"/>
    </row>
    <row r="26" spans="2:16" s="8" customFormat="1" x14ac:dyDescent="0.2">
      <c r="B26" s="8" t="s">
        <v>309</v>
      </c>
    </row>
    <row r="28" spans="2:16" x14ac:dyDescent="0.2">
      <c r="B28" s="1" t="s">
        <v>296</v>
      </c>
    </row>
    <row r="29" spans="2:16" x14ac:dyDescent="0.2">
      <c r="B29" s="2" t="s">
        <v>440</v>
      </c>
      <c r="F29" s="2" t="s">
        <v>205</v>
      </c>
      <c r="L29" s="27">
        <f>SUM(L19:L24)</f>
        <v>4025304.4163769903</v>
      </c>
      <c r="M29" s="48"/>
      <c r="N29" s="48"/>
      <c r="O29" s="48"/>
      <c r="P29" s="48"/>
    </row>
    <row r="31" spans="2:16" ht="12.75" customHeight="1" x14ac:dyDescent="0.2">
      <c r="B31" s="1" t="s">
        <v>216</v>
      </c>
    </row>
    <row r="32" spans="2:16" ht="12.75" customHeight="1" x14ac:dyDescent="0.2">
      <c r="B32" s="2" t="s">
        <v>217</v>
      </c>
      <c r="F32" s="2" t="s">
        <v>218</v>
      </c>
      <c r="L32" s="73">
        <f>L29/L16</f>
        <v>0.24319538905379626</v>
      </c>
      <c r="M32" s="48"/>
      <c r="N32" s="48"/>
      <c r="O32" s="48"/>
      <c r="P32" s="48"/>
    </row>
    <row r="33" spans="2:16" ht="12.75" customHeight="1" x14ac:dyDescent="0.2">
      <c r="B33" s="2" t="s">
        <v>300</v>
      </c>
      <c r="F33" s="2" t="s">
        <v>218</v>
      </c>
      <c r="L33" s="124">
        <f>L13*L14*L15</f>
        <v>0.14024042237737816</v>
      </c>
      <c r="M33" s="48"/>
      <c r="N33" s="48"/>
      <c r="O33" s="48"/>
      <c r="P33" s="48"/>
    </row>
    <row r="34" spans="2:16" ht="12.75" customHeight="1" x14ac:dyDescent="0.2">
      <c r="B34" s="2" t="s">
        <v>219</v>
      </c>
      <c r="F34" s="2" t="s">
        <v>218</v>
      </c>
      <c r="L34" s="117">
        <f>L32+L33</f>
        <v>0.38343581143117444</v>
      </c>
      <c r="M34" s="48"/>
      <c r="N34" s="48"/>
      <c r="O34" s="48"/>
      <c r="P34" s="48"/>
    </row>
    <row r="35" spans="2:16" x14ac:dyDescent="0.2">
      <c r="B35" s="19"/>
    </row>
    <row r="37" spans="2:16" x14ac:dyDescent="0.2">
      <c r="B37" s="4" t="s">
        <v>65</v>
      </c>
    </row>
  </sheetData>
  <phoneticPr fontId="31"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CCC8D9"/>
  </sheetPr>
  <dimension ref="B2:H43"/>
  <sheetViews>
    <sheetView showGridLines="0" zoomScale="85" zoomScaleNormal="85" workbookViewId="0">
      <pane ySplit="3" topLeftCell="A4" activePane="bottomLeft" state="frozen"/>
      <selection activeCell="O39" sqref="O39"/>
      <selection pane="bottomLeft" activeCell="A4" sqref="A4"/>
    </sheetView>
  </sheetViews>
  <sheetFormatPr defaultColWidth="9.140625" defaultRowHeight="12.75" x14ac:dyDescent="0.2"/>
  <cols>
    <col min="1" max="1" width="4.7109375" style="2" customWidth="1"/>
    <col min="2" max="2" width="27.85546875" style="2" customWidth="1"/>
    <col min="3" max="3" width="7.140625" style="2" customWidth="1"/>
    <col min="4" max="4" width="56.85546875" style="2" customWidth="1"/>
    <col min="5" max="5" width="29.85546875" style="2" customWidth="1"/>
    <col min="6" max="6" width="24.7109375" style="2" customWidth="1"/>
    <col min="7" max="7" width="37.28515625" style="2" customWidth="1"/>
    <col min="8" max="16384" width="9.140625" style="2"/>
  </cols>
  <sheetData>
    <row r="2" spans="2:8" s="7" customFormat="1" ht="18" x14ac:dyDescent="0.2">
      <c r="B2" s="7" t="s">
        <v>48</v>
      </c>
    </row>
    <row r="3" spans="2:8" x14ac:dyDescent="0.2">
      <c r="B3" s="29"/>
    </row>
    <row r="4" spans="2:8" x14ac:dyDescent="0.2">
      <c r="B4" s="29"/>
    </row>
    <row r="5" spans="2:8" s="8" customFormat="1" x14ac:dyDescent="0.2">
      <c r="B5" s="8" t="s">
        <v>49</v>
      </c>
    </row>
    <row r="7" spans="2:8" x14ac:dyDescent="0.2">
      <c r="B7" s="2" t="s">
        <v>537</v>
      </c>
    </row>
    <row r="8" spans="2:8" x14ac:dyDescent="0.2">
      <c r="B8" s="2" t="s">
        <v>539</v>
      </c>
    </row>
    <row r="9" spans="2:8" x14ac:dyDescent="0.2">
      <c r="B9" s="2" t="s">
        <v>538</v>
      </c>
    </row>
    <row r="10" spans="2:8" x14ac:dyDescent="0.2">
      <c r="H10" s="22"/>
    </row>
    <row r="11" spans="2:8" s="8" customFormat="1" x14ac:dyDescent="0.2">
      <c r="B11" s="8" t="s">
        <v>50</v>
      </c>
    </row>
    <row r="13" spans="2:8" x14ac:dyDescent="0.2">
      <c r="B13" s="19" t="s">
        <v>11</v>
      </c>
      <c r="D13" s="19" t="s">
        <v>12</v>
      </c>
      <c r="F13" s="5"/>
    </row>
    <row r="15" spans="2:8" x14ac:dyDescent="0.2">
      <c r="B15" s="25">
        <v>123</v>
      </c>
      <c r="D15" s="2" t="s">
        <v>13</v>
      </c>
    </row>
    <row r="16" spans="2:8" x14ac:dyDescent="0.2">
      <c r="B16" s="26">
        <f>B15</f>
        <v>123</v>
      </c>
      <c r="D16" s="2" t="s">
        <v>51</v>
      </c>
    </row>
    <row r="17" spans="2:6" x14ac:dyDescent="0.2">
      <c r="B17" s="27">
        <f>B16+B15</f>
        <v>246</v>
      </c>
      <c r="D17" s="2" t="s">
        <v>14</v>
      </c>
    </row>
    <row r="18" spans="2:6" x14ac:dyDescent="0.2">
      <c r="B18" s="21">
        <f>B16+B17</f>
        <v>369</v>
      </c>
      <c r="D18" s="2" t="s">
        <v>52</v>
      </c>
      <c r="E18" s="5"/>
      <c r="F18" s="5"/>
    </row>
    <row r="19" spans="2:6" x14ac:dyDescent="0.2">
      <c r="B19" s="10"/>
      <c r="D19" s="2" t="s">
        <v>15</v>
      </c>
      <c r="E19" s="5"/>
    </row>
    <row r="21" spans="2:6" x14ac:dyDescent="0.2">
      <c r="B21" s="20" t="s">
        <v>26</v>
      </c>
    </row>
    <row r="22" spans="2:6" x14ac:dyDescent="0.2">
      <c r="B22" s="23">
        <f>B18+16</f>
        <v>385</v>
      </c>
      <c r="D22" s="2" t="s">
        <v>16</v>
      </c>
    </row>
    <row r="23" spans="2:6" x14ac:dyDescent="0.2">
      <c r="B23" s="24">
        <f>B16*PI()</f>
        <v>386.41589639154455</v>
      </c>
      <c r="C23" s="11"/>
      <c r="D23" s="2" t="s">
        <v>53</v>
      </c>
    </row>
    <row r="24" spans="2:6" x14ac:dyDescent="0.2">
      <c r="B24" s="11"/>
      <c r="C24" s="11"/>
    </row>
    <row r="25" spans="2:6" x14ac:dyDescent="0.2">
      <c r="B25" s="19" t="s">
        <v>17</v>
      </c>
    </row>
    <row r="26" spans="2:6" x14ac:dyDescent="0.2">
      <c r="B26" s="1"/>
    </row>
    <row r="27" spans="2:6" x14ac:dyDescent="0.2">
      <c r="B27" s="20" t="s">
        <v>21</v>
      </c>
    </row>
    <row r="28" spans="2:6" x14ac:dyDescent="0.2">
      <c r="B28" s="21" t="s">
        <v>22</v>
      </c>
      <c r="D28" s="2" t="s">
        <v>18</v>
      </c>
    </row>
    <row r="29" spans="2:6" x14ac:dyDescent="0.2">
      <c r="B29" s="25" t="s">
        <v>1</v>
      </c>
      <c r="D29" s="2" t="s">
        <v>19</v>
      </c>
    </row>
    <row r="30" spans="2:6" x14ac:dyDescent="0.2">
      <c r="B30" s="27" t="s">
        <v>23</v>
      </c>
      <c r="D30" s="2" t="s">
        <v>20</v>
      </c>
    </row>
    <row r="31" spans="2:6" x14ac:dyDescent="0.2">
      <c r="B31" s="24" t="s">
        <v>23</v>
      </c>
      <c r="D31" s="2" t="s">
        <v>54</v>
      </c>
    </row>
    <row r="32" spans="2:6" x14ac:dyDescent="0.2">
      <c r="D32" s="3"/>
    </row>
    <row r="33" spans="2:4" x14ac:dyDescent="0.2">
      <c r="B33" s="20" t="s">
        <v>24</v>
      </c>
      <c r="D33" s="3"/>
    </row>
    <row r="34" spans="2:4" x14ac:dyDescent="0.2">
      <c r="B34" s="14" t="s">
        <v>2</v>
      </c>
      <c r="D34" s="2" t="s">
        <v>55</v>
      </c>
    </row>
    <row r="35" spans="2:4" x14ac:dyDescent="0.2">
      <c r="B35" s="30" t="s">
        <v>25</v>
      </c>
      <c r="D35" s="2" t="s">
        <v>179</v>
      </c>
    </row>
    <row r="43" spans="2:4" x14ac:dyDescent="0.2">
      <c r="B43" s="4" t="s">
        <v>65</v>
      </c>
    </row>
  </sheetData>
  <pageMargins left="0.75" right="0.75" top="1" bottom="1" header="0.5" footer="0.5"/>
  <pageSetup paperSize="9" orientation="portrait" r:id="rId1"/>
  <headerFooter alignWithMargins="0"/>
  <legacy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7F639F-CFC7-4C9E-94ED-12122E3575CD}">
  <sheetPr>
    <tabColor rgb="FFFFFFCC"/>
  </sheetPr>
  <dimension ref="B2:R106"/>
  <sheetViews>
    <sheetView showGridLines="0" zoomScale="85" zoomScaleNormal="85" workbookViewId="0">
      <pane xSplit="6" ySplit="8" topLeftCell="G9" activePane="bottomRight" state="frozen"/>
      <selection activeCell="H13" sqref="H13"/>
      <selection pane="topRight" activeCell="H13" sqref="H13"/>
      <selection pane="bottomLeft" activeCell="H13" sqref="H13"/>
      <selection pane="bottomRight" activeCell="G9" sqref="G9"/>
    </sheetView>
  </sheetViews>
  <sheetFormatPr defaultColWidth="9.140625" defaultRowHeight="12.75" x14ac:dyDescent="0.2"/>
  <cols>
    <col min="1" max="1" width="4.5703125" style="2" customWidth="1"/>
    <col min="2" max="2" width="64.28515625" style="2" customWidth="1"/>
    <col min="3" max="5" width="4.5703125" style="2" customWidth="1"/>
    <col min="6" max="6" width="15.42578125" style="2" customWidth="1"/>
    <col min="7" max="7" width="2.7109375" style="2" customWidth="1"/>
    <col min="8" max="8" width="13.7109375" style="2" customWidth="1"/>
    <col min="9" max="9" width="2.7109375" style="2" customWidth="1"/>
    <col min="10" max="10" width="13.7109375" style="2" customWidth="1"/>
    <col min="11" max="11" width="2.7109375" style="2" customWidth="1"/>
    <col min="12" max="16" width="21.7109375" style="2" customWidth="1"/>
    <col min="17" max="17" width="2.7109375" style="2" customWidth="1"/>
    <col min="18" max="18" width="30.7109375" style="2" customWidth="1"/>
    <col min="19" max="19" width="2.7109375" style="2" customWidth="1"/>
    <col min="20" max="29" width="12.5703125" style="2" customWidth="1"/>
    <col min="30" max="32" width="2.7109375" style="2" customWidth="1"/>
    <col min="33" max="47" width="13.7109375" style="2" customWidth="1"/>
    <col min="48" max="16384" width="9.140625" style="2"/>
  </cols>
  <sheetData>
    <row r="2" spans="2:18" s="12" customFormat="1" ht="18" x14ac:dyDescent="0.2">
      <c r="B2" s="12" t="s">
        <v>601</v>
      </c>
    </row>
    <row r="4" spans="2:18" x14ac:dyDescent="0.2">
      <c r="B4" s="19" t="s">
        <v>12</v>
      </c>
      <c r="C4" s="1"/>
      <c r="D4" s="1"/>
    </row>
    <row r="5" spans="2:18" x14ac:dyDescent="0.2">
      <c r="B5" s="2" t="s">
        <v>602</v>
      </c>
      <c r="C5" s="3"/>
      <c r="D5" s="3"/>
      <c r="H5" s="13"/>
    </row>
    <row r="6" spans="2:18" x14ac:dyDescent="0.2">
      <c r="C6" s="3"/>
      <c r="D6" s="3"/>
      <c r="H6" s="13"/>
    </row>
    <row r="7" spans="2:18" s="8" customFormat="1" ht="12.75" customHeight="1" x14ac:dyDescent="0.2">
      <c r="B7" s="8" t="s">
        <v>103</v>
      </c>
      <c r="F7" s="8" t="s">
        <v>104</v>
      </c>
      <c r="H7" s="8" t="s">
        <v>37</v>
      </c>
      <c r="J7" s="8" t="s">
        <v>38</v>
      </c>
      <c r="L7" s="8" t="s">
        <v>257</v>
      </c>
      <c r="M7" s="8" t="s">
        <v>73</v>
      </c>
      <c r="N7" s="8" t="s">
        <v>74</v>
      </c>
      <c r="O7" s="8" t="s">
        <v>75</v>
      </c>
      <c r="P7" s="8" t="s">
        <v>76</v>
      </c>
      <c r="R7" s="8" t="s">
        <v>39</v>
      </c>
    </row>
    <row r="10" spans="2:18" s="8" customFormat="1" x14ac:dyDescent="0.2">
      <c r="B10" s="8" t="s">
        <v>41</v>
      </c>
    </row>
    <row r="12" spans="2:18" x14ac:dyDescent="0.2">
      <c r="B12" s="1" t="s">
        <v>67</v>
      </c>
    </row>
    <row r="13" spans="2:18" x14ac:dyDescent="0.2">
      <c r="B13" s="2" t="s">
        <v>90</v>
      </c>
      <c r="H13" s="97">
        <f>Parameters!H28</f>
        <v>-1.0999999999999999E-2</v>
      </c>
    </row>
    <row r="15" spans="2:18" x14ac:dyDescent="0.2">
      <c r="B15" s="19" t="s">
        <v>302</v>
      </c>
    </row>
    <row r="16" spans="2:18" x14ac:dyDescent="0.2">
      <c r="B16" s="95">
        <f>'Estimates for 2024'!B47</f>
        <v>3.2</v>
      </c>
      <c r="F16" s="2" t="s">
        <v>163</v>
      </c>
      <c r="L16" s="71"/>
      <c r="M16" s="26">
        <f>'Estimates for 2024'!M47</f>
        <v>215</v>
      </c>
      <c r="N16" s="71"/>
      <c r="O16" s="71"/>
      <c r="P16" s="71"/>
    </row>
    <row r="17" spans="2:16" x14ac:dyDescent="0.2">
      <c r="B17" s="95">
        <f>'Estimates for 2024'!B48</f>
        <v>7.7</v>
      </c>
      <c r="F17" s="2" t="s">
        <v>163</v>
      </c>
      <c r="L17" s="71"/>
      <c r="M17" s="26">
        <f>'Estimates for 2024'!M48</f>
        <v>1474.0789004867358</v>
      </c>
      <c r="N17" s="71"/>
      <c r="O17" s="71"/>
      <c r="P17" s="71"/>
    </row>
    <row r="18" spans="2:16" x14ac:dyDescent="0.2">
      <c r="B18" s="95">
        <f>'Estimates for 2024'!B49</f>
        <v>11</v>
      </c>
      <c r="F18" s="2" t="s">
        <v>163</v>
      </c>
      <c r="L18" s="71"/>
      <c r="M18" s="26">
        <f>'Estimates for 2024'!M49</f>
        <v>115</v>
      </c>
      <c r="N18" s="71"/>
      <c r="O18" s="71"/>
      <c r="P18" s="71"/>
    </row>
    <row r="19" spans="2:16" x14ac:dyDescent="0.2">
      <c r="B19" s="95">
        <f>'Estimates for 2024'!B50</f>
        <v>13.86</v>
      </c>
      <c r="F19" s="2" t="s">
        <v>163</v>
      </c>
      <c r="L19" s="71"/>
      <c r="M19" s="26">
        <f>'Estimates for 2024'!M50</f>
        <v>38.906666666666673</v>
      </c>
      <c r="N19" s="71"/>
      <c r="O19" s="71"/>
      <c r="P19" s="71"/>
    </row>
    <row r="20" spans="2:16" x14ac:dyDescent="0.2">
      <c r="B20" s="95">
        <f>'Estimates for 2024'!B51</f>
        <v>13.3</v>
      </c>
      <c r="F20" s="2" t="s">
        <v>163</v>
      </c>
      <c r="L20" s="71"/>
      <c r="M20" s="26">
        <f>'Estimates for 2024'!M51</f>
        <v>27</v>
      </c>
      <c r="N20" s="71"/>
      <c r="O20" s="71"/>
      <c r="P20" s="71"/>
    </row>
    <row r="21" spans="2:16" x14ac:dyDescent="0.2">
      <c r="B21" s="95">
        <f>'Estimates for 2024'!B52</f>
        <v>19</v>
      </c>
      <c r="F21" s="2" t="s">
        <v>163</v>
      </c>
      <c r="L21" s="71"/>
      <c r="M21" s="26">
        <f>'Estimates for 2024'!M52</f>
        <v>25.916666666666668</v>
      </c>
      <c r="N21" s="71"/>
      <c r="O21" s="71"/>
      <c r="P21" s="71"/>
    </row>
    <row r="22" spans="2:16" x14ac:dyDescent="0.2">
      <c r="B22" s="95">
        <f>'Estimates for 2024'!B53</f>
        <v>23.94</v>
      </c>
      <c r="F22" s="2" t="s">
        <v>163</v>
      </c>
      <c r="L22" s="71"/>
      <c r="M22" s="26">
        <f>'Estimates for 2024'!M53</f>
        <v>40</v>
      </c>
      <c r="N22" s="71"/>
      <c r="O22" s="71"/>
      <c r="P22" s="71"/>
    </row>
    <row r="23" spans="2:16" x14ac:dyDescent="0.2">
      <c r="B23" s="95">
        <f>'Estimates for 2024'!B54</f>
        <v>30.4</v>
      </c>
      <c r="F23" s="2" t="s">
        <v>163</v>
      </c>
      <c r="L23" s="71"/>
      <c r="M23" s="26">
        <f>'Estimates for 2024'!M54</f>
        <v>12.916666666666666</v>
      </c>
      <c r="N23" s="71"/>
      <c r="O23" s="71"/>
      <c r="P23" s="71"/>
    </row>
    <row r="24" spans="2:16" x14ac:dyDescent="0.2">
      <c r="B24" s="95">
        <f>'Estimates for 2024'!B55</f>
        <v>38</v>
      </c>
      <c r="F24" s="2" t="s">
        <v>163</v>
      </c>
      <c r="L24" s="71"/>
      <c r="M24" s="26">
        <f>'Estimates for 2024'!M55</f>
        <v>11</v>
      </c>
      <c r="N24" s="71"/>
      <c r="O24" s="71"/>
      <c r="P24" s="71"/>
    </row>
    <row r="25" spans="2:16" x14ac:dyDescent="0.2">
      <c r="B25" s="95">
        <f>'Estimates for 2024'!B56</f>
        <v>47.5</v>
      </c>
      <c r="F25" s="2" t="s">
        <v>163</v>
      </c>
      <c r="L25" s="71"/>
      <c r="M25" s="26">
        <f>'Estimates for 2024'!M56</f>
        <v>14</v>
      </c>
      <c r="N25" s="71"/>
      <c r="O25" s="71"/>
      <c r="P25" s="71"/>
    </row>
    <row r="26" spans="2:16" x14ac:dyDescent="0.2">
      <c r="B26" s="95">
        <f>'Estimates for 2024'!B57</f>
        <v>60.8</v>
      </c>
      <c r="F26" s="2" t="s">
        <v>163</v>
      </c>
      <c r="L26" s="71"/>
      <c r="M26" s="26">
        <f>'Estimates for 2024'!M57</f>
        <v>4</v>
      </c>
      <c r="N26" s="71"/>
      <c r="O26" s="71"/>
      <c r="P26" s="71"/>
    </row>
    <row r="27" spans="2:16" x14ac:dyDescent="0.2">
      <c r="B27" s="95">
        <f>'Estimates for 2024'!B58</f>
        <v>76</v>
      </c>
      <c r="F27" s="2" t="s">
        <v>163</v>
      </c>
      <c r="L27" s="71"/>
      <c r="M27" s="26">
        <f>'Estimates for 2024'!M58</f>
        <v>4</v>
      </c>
      <c r="N27" s="71"/>
      <c r="O27" s="71"/>
      <c r="P27" s="71"/>
    </row>
    <row r="28" spans="2:16" x14ac:dyDescent="0.2">
      <c r="B28" s="95">
        <f>'Estimates for 2024'!B59</f>
        <v>85.5</v>
      </c>
      <c r="F28" s="2" t="s">
        <v>163</v>
      </c>
      <c r="L28" s="71"/>
      <c r="M28" s="26">
        <f>'Estimates for 2024'!M59</f>
        <v>3</v>
      </c>
      <c r="N28" s="71"/>
      <c r="O28" s="71"/>
      <c r="P28" s="71"/>
    </row>
    <row r="29" spans="2:16" x14ac:dyDescent="0.2">
      <c r="B29" s="95">
        <f>'Estimates for 2024'!B60</f>
        <v>95</v>
      </c>
      <c r="F29" s="2" t="s">
        <v>163</v>
      </c>
      <c r="L29" s="71"/>
      <c r="M29" s="26">
        <f>'Estimates for 2024'!M60</f>
        <v>2</v>
      </c>
      <c r="N29" s="71"/>
      <c r="O29" s="71"/>
      <c r="P29" s="71"/>
    </row>
    <row r="30" spans="2:16" x14ac:dyDescent="0.2">
      <c r="B30" s="95">
        <f>'Estimates for 2024'!B61</f>
        <v>119.7</v>
      </c>
      <c r="F30" s="2" t="s">
        <v>163</v>
      </c>
      <c r="L30" s="71"/>
      <c r="M30" s="26">
        <f>'Estimates for 2024'!M61</f>
        <v>1</v>
      </c>
      <c r="N30" s="71"/>
      <c r="O30" s="71"/>
      <c r="P30" s="71"/>
    </row>
    <row r="31" spans="2:16" x14ac:dyDescent="0.2">
      <c r="B31" s="95">
        <f>'Estimates for 2024'!B62</f>
        <v>175</v>
      </c>
      <c r="F31" s="2" t="s">
        <v>163</v>
      </c>
      <c r="L31" s="71"/>
      <c r="M31" s="26">
        <f>'Estimates for 2024'!M62</f>
        <v>0</v>
      </c>
      <c r="N31" s="71"/>
      <c r="O31" s="71"/>
      <c r="P31" s="71"/>
    </row>
    <row r="32" spans="2:16" x14ac:dyDescent="0.2">
      <c r="B32" s="95">
        <f>'Estimates for 2024'!B63</f>
        <v>200</v>
      </c>
      <c r="F32" s="2" t="s">
        <v>163</v>
      </c>
      <c r="L32" s="71"/>
      <c r="M32" s="26">
        <f>'Estimates for 2024'!M63</f>
        <v>3</v>
      </c>
      <c r="N32" s="71"/>
      <c r="O32" s="71"/>
      <c r="P32" s="71"/>
    </row>
    <row r="34" spans="2:18" x14ac:dyDescent="0.2">
      <c r="B34" s="19" t="s">
        <v>296</v>
      </c>
    </row>
    <row r="35" spans="2:18" x14ac:dyDescent="0.2">
      <c r="B35" s="2" t="s">
        <v>439</v>
      </c>
      <c r="F35" s="2" t="s">
        <v>205</v>
      </c>
      <c r="L35" s="71"/>
      <c r="M35" s="26">
        <f>'Calculation cost base 2024'!M76</f>
        <v>966516.46614236105</v>
      </c>
      <c r="N35" s="71"/>
      <c r="O35" s="71"/>
      <c r="P35" s="71"/>
    </row>
    <row r="36" spans="2:18" x14ac:dyDescent="0.2">
      <c r="B36" s="2" t="s">
        <v>441</v>
      </c>
      <c r="F36" s="2" t="s">
        <v>205</v>
      </c>
      <c r="L36" s="71"/>
      <c r="M36" s="26">
        <f>'Overview corrections'!M36</f>
        <v>59350.68453885577</v>
      </c>
      <c r="N36" s="71"/>
      <c r="O36" s="71"/>
      <c r="P36" s="71"/>
    </row>
    <row r="37" spans="2:18" x14ac:dyDescent="0.2">
      <c r="B37" s="32" t="s">
        <v>388</v>
      </c>
      <c r="F37" s="2" t="s">
        <v>205</v>
      </c>
      <c r="L37" s="71"/>
      <c r="M37" s="26">
        <f>'Overview corrections'!M37</f>
        <v>6365.3392248225482</v>
      </c>
      <c r="N37" s="71"/>
      <c r="O37" s="71"/>
      <c r="P37" s="71"/>
    </row>
    <row r="38" spans="2:18" x14ac:dyDescent="0.2">
      <c r="B38" s="2" t="s">
        <v>403</v>
      </c>
      <c r="F38" s="2" t="s">
        <v>205</v>
      </c>
      <c r="L38" s="71"/>
      <c r="M38" s="26">
        <f>'Overview corrections'!M38</f>
        <v>-164161.80578310363</v>
      </c>
      <c r="N38" s="71"/>
      <c r="O38" s="71"/>
      <c r="P38" s="71"/>
    </row>
    <row r="40" spans="2:18" x14ac:dyDescent="0.2">
      <c r="B40" s="1" t="s">
        <v>303</v>
      </c>
    </row>
    <row r="41" spans="2:18" x14ac:dyDescent="0.2">
      <c r="B41" s="32" t="s">
        <v>292</v>
      </c>
      <c r="F41" s="2" t="s">
        <v>205</v>
      </c>
      <c r="L41" s="71"/>
      <c r="M41" s="85">
        <f>'Overview corrections'!M43</f>
        <v>-217598.35858108188</v>
      </c>
      <c r="N41" s="71"/>
      <c r="O41" s="71"/>
      <c r="P41" s="71"/>
      <c r="R41" s="2" t="s">
        <v>304</v>
      </c>
    </row>
    <row r="42" spans="2:18" x14ac:dyDescent="0.2">
      <c r="B42" s="2" t="s">
        <v>137</v>
      </c>
      <c r="F42" s="2" t="s">
        <v>133</v>
      </c>
      <c r="L42" s="26">
        <f>'Estimates for 2024'!L23</f>
        <v>7779312.9999999851</v>
      </c>
      <c r="M42" s="48"/>
      <c r="N42" s="48"/>
      <c r="O42" s="48"/>
      <c r="P42" s="48"/>
    </row>
    <row r="44" spans="2:18" x14ac:dyDescent="0.2">
      <c r="B44" s="1" t="s">
        <v>306</v>
      </c>
    </row>
    <row r="45" spans="2:18" x14ac:dyDescent="0.2">
      <c r="B45" s="2" t="s">
        <v>206</v>
      </c>
      <c r="F45" s="2" t="s">
        <v>205</v>
      </c>
      <c r="L45" s="71"/>
      <c r="M45" s="85">
        <f>'Overview corrections'!M44</f>
        <v>-118397.51612508438</v>
      </c>
      <c r="N45" s="71"/>
      <c r="O45" s="71"/>
      <c r="P45" s="71"/>
    </row>
    <row r="46" spans="2:18" x14ac:dyDescent="0.2">
      <c r="B46" s="2" t="s">
        <v>326</v>
      </c>
      <c r="F46" s="2" t="s">
        <v>88</v>
      </c>
      <c r="L46" s="48"/>
      <c r="M46" s="84">
        <f>'Estimates for 2024'!M17</f>
        <v>0.12</v>
      </c>
      <c r="N46" s="48"/>
      <c r="O46" s="48"/>
      <c r="P46" s="48"/>
    </row>
    <row r="48" spans="2:18" x14ac:dyDescent="0.2">
      <c r="B48" s="1" t="s">
        <v>216</v>
      </c>
    </row>
    <row r="49" spans="2:18" x14ac:dyDescent="0.2">
      <c r="B49" s="2" t="s">
        <v>308</v>
      </c>
      <c r="F49" s="2" t="s">
        <v>218</v>
      </c>
      <c r="L49" s="123">
        <f>'Electricity Production'!L34</f>
        <v>0.38343581143117444</v>
      </c>
      <c r="M49" s="48"/>
      <c r="N49" s="48"/>
      <c r="O49" s="48"/>
      <c r="P49" s="48"/>
    </row>
    <row r="51" spans="2:18" x14ac:dyDescent="0.2">
      <c r="B51" s="1" t="s">
        <v>316</v>
      </c>
    </row>
    <row r="52" spans="2:18" x14ac:dyDescent="0.2">
      <c r="B52" s="2" t="s">
        <v>453</v>
      </c>
      <c r="F52" s="2" t="s">
        <v>155</v>
      </c>
      <c r="L52" s="71"/>
      <c r="M52" s="92">
        <f>'Historical data'!M62</f>
        <v>40</v>
      </c>
      <c r="N52" s="71"/>
      <c r="O52" s="71"/>
      <c r="P52" s="71"/>
    </row>
    <row r="53" spans="2:18" x14ac:dyDescent="0.2">
      <c r="B53" s="2" t="s">
        <v>157</v>
      </c>
      <c r="F53" s="2" t="s">
        <v>155</v>
      </c>
      <c r="L53" s="71"/>
      <c r="M53" s="98">
        <f>'Historical data'!M58</f>
        <v>308.83379299885058</v>
      </c>
      <c r="N53" s="71"/>
      <c r="O53" s="71"/>
      <c r="P53" s="71"/>
    </row>
    <row r="54" spans="2:18" x14ac:dyDescent="0.2">
      <c r="B54" s="2" t="s">
        <v>158</v>
      </c>
      <c r="F54" s="2" t="s">
        <v>155</v>
      </c>
      <c r="L54" s="48"/>
      <c r="M54" s="98">
        <f>'Historical data'!M59</f>
        <v>191.6617702608896</v>
      </c>
      <c r="N54" s="71"/>
      <c r="O54" s="71"/>
      <c r="P54" s="71"/>
    </row>
    <row r="55" spans="2:18" x14ac:dyDescent="0.2">
      <c r="B55" s="2" t="s">
        <v>159</v>
      </c>
      <c r="F55" s="2" t="s">
        <v>155</v>
      </c>
      <c r="L55" s="48"/>
      <c r="M55" s="98">
        <f>'Historical data'!M60</f>
        <v>208.07476547780604</v>
      </c>
      <c r="N55" s="71"/>
      <c r="O55" s="71"/>
      <c r="P55" s="71"/>
    </row>
    <row r="57" spans="2:18" x14ac:dyDescent="0.2">
      <c r="B57" s="2" t="s">
        <v>299</v>
      </c>
      <c r="F57" s="2" t="s">
        <v>125</v>
      </c>
      <c r="L57" s="48"/>
      <c r="M57" s="98">
        <f>'Estimates for 2024'!L22</f>
        <v>16551729.997999959</v>
      </c>
      <c r="N57" s="71"/>
      <c r="O57" s="71"/>
      <c r="P57" s="71"/>
    </row>
    <row r="59" spans="2:18" s="8" customFormat="1" x14ac:dyDescent="0.2">
      <c r="B59" s="8" t="s">
        <v>307</v>
      </c>
    </row>
    <row r="61" spans="2:18" x14ac:dyDescent="0.2">
      <c r="B61" s="19" t="s">
        <v>310</v>
      </c>
    </row>
    <row r="62" spans="2:18" x14ac:dyDescent="0.2">
      <c r="B62" s="32" t="s">
        <v>469</v>
      </c>
      <c r="F62" s="2" t="s">
        <v>218</v>
      </c>
      <c r="L62" s="48"/>
      <c r="M62" s="94">
        <f>L49</f>
        <v>0.38343581143117444</v>
      </c>
      <c r="N62" s="48"/>
      <c r="O62" s="48"/>
      <c r="P62" s="48"/>
    </row>
    <row r="63" spans="2:18" x14ac:dyDescent="0.2">
      <c r="B63" s="2" t="s">
        <v>603</v>
      </c>
      <c r="F63" s="2" t="s">
        <v>218</v>
      </c>
      <c r="L63" s="48"/>
      <c r="M63" s="121">
        <f>M45/M57</f>
        <v>-7.153180733336699E-3</v>
      </c>
      <c r="N63" s="48"/>
      <c r="O63" s="48"/>
      <c r="P63" s="48"/>
    </row>
    <row r="64" spans="2:18" x14ac:dyDescent="0.2">
      <c r="B64" s="2" t="s">
        <v>604</v>
      </c>
      <c r="F64" s="2" t="s">
        <v>218</v>
      </c>
      <c r="L64" s="48"/>
      <c r="M64" s="121">
        <f>M41/L42</f>
        <v>-2.7971410660694883E-2</v>
      </c>
      <c r="N64" s="48"/>
      <c r="O64" s="48"/>
      <c r="P64" s="48"/>
      <c r="R64" s="2" t="s">
        <v>605</v>
      </c>
    </row>
    <row r="66" spans="2:16" x14ac:dyDescent="0.2">
      <c r="B66" s="1" t="s">
        <v>309</v>
      </c>
    </row>
    <row r="67" spans="2:16" x14ac:dyDescent="0.2">
      <c r="B67" s="2" t="s">
        <v>311</v>
      </c>
      <c r="F67" s="2" t="s">
        <v>218</v>
      </c>
      <c r="L67" s="48"/>
      <c r="M67" s="122">
        <f>SUM(M62:M64)/(1-M46)</f>
        <v>0.39580820458766236</v>
      </c>
      <c r="N67" s="48"/>
      <c r="O67" s="48"/>
      <c r="P67" s="48"/>
    </row>
    <row r="69" spans="2:16" s="8" customFormat="1" x14ac:dyDescent="0.2">
      <c r="B69" s="8" t="s">
        <v>312</v>
      </c>
    </row>
    <row r="71" spans="2:16" x14ac:dyDescent="0.2">
      <c r="B71" s="1" t="s">
        <v>296</v>
      </c>
    </row>
    <row r="72" spans="2:16" x14ac:dyDescent="0.2">
      <c r="B72" s="2" t="s">
        <v>440</v>
      </c>
      <c r="F72" s="2" t="s">
        <v>205</v>
      </c>
      <c r="L72" s="48"/>
      <c r="M72" s="27">
        <f>SUM(M35:M38)</f>
        <v>868070.68412293587</v>
      </c>
      <c r="N72" s="48"/>
      <c r="O72" s="48"/>
      <c r="P72" s="48"/>
    </row>
    <row r="73" spans="2:16" x14ac:dyDescent="0.2">
      <c r="B73" s="2" t="s">
        <v>444</v>
      </c>
      <c r="F73" s="2" t="s">
        <v>126</v>
      </c>
      <c r="L73" s="48"/>
      <c r="M73" s="27">
        <f>SUMPRODUCT(B16:B32,M16:M32)</f>
        <v>18840.837267081202</v>
      </c>
      <c r="N73" s="48"/>
      <c r="O73" s="48"/>
      <c r="P73" s="48"/>
    </row>
    <row r="74" spans="2:16" x14ac:dyDescent="0.2">
      <c r="B74" s="2" t="s">
        <v>313</v>
      </c>
      <c r="F74" s="2" t="s">
        <v>314</v>
      </c>
      <c r="L74" s="48"/>
      <c r="M74" s="118">
        <f>M72/M73/12</f>
        <v>3.8394909234369723</v>
      </c>
      <c r="N74" s="48"/>
      <c r="O74" s="48"/>
      <c r="P74" s="48"/>
    </row>
    <row r="76" spans="2:16" x14ac:dyDescent="0.2">
      <c r="B76" s="19" t="s">
        <v>223</v>
      </c>
    </row>
    <row r="77" spans="2:16" x14ac:dyDescent="0.2">
      <c r="B77" s="96">
        <f t="shared" ref="B77:B93" si="0">B16</f>
        <v>3.2</v>
      </c>
      <c r="F77" s="2" t="s">
        <v>224</v>
      </c>
      <c r="L77" s="48"/>
      <c r="M77" s="75">
        <f>$M$74*B77</f>
        <v>12.286370954998311</v>
      </c>
      <c r="N77" s="48"/>
      <c r="O77" s="48"/>
      <c r="P77" s="48"/>
    </row>
    <row r="78" spans="2:16" x14ac:dyDescent="0.2">
      <c r="B78" s="96">
        <f t="shared" si="0"/>
        <v>7.7</v>
      </c>
      <c r="F78" s="2" t="s">
        <v>224</v>
      </c>
      <c r="L78" s="48"/>
      <c r="M78" s="75">
        <f t="shared" ref="M78:M93" si="1">$M$74*B78</f>
        <v>29.564080110464687</v>
      </c>
      <c r="N78" s="48"/>
      <c r="O78" s="48"/>
      <c r="P78" s="48"/>
    </row>
    <row r="79" spans="2:16" x14ac:dyDescent="0.2">
      <c r="B79" s="96">
        <f t="shared" si="0"/>
        <v>11</v>
      </c>
      <c r="F79" s="2" t="s">
        <v>224</v>
      </c>
      <c r="L79" s="48"/>
      <c r="M79" s="75">
        <f t="shared" si="1"/>
        <v>42.234400157806697</v>
      </c>
      <c r="N79" s="48"/>
      <c r="O79" s="48"/>
      <c r="P79" s="48"/>
    </row>
    <row r="80" spans="2:16" x14ac:dyDescent="0.2">
      <c r="B80" s="96">
        <f t="shared" si="0"/>
        <v>13.86</v>
      </c>
      <c r="F80" s="2" t="s">
        <v>224</v>
      </c>
      <c r="L80" s="48"/>
      <c r="M80" s="75">
        <f t="shared" si="1"/>
        <v>53.215344198836434</v>
      </c>
      <c r="N80" s="48"/>
      <c r="O80" s="48"/>
      <c r="P80" s="48"/>
    </row>
    <row r="81" spans="2:16" x14ac:dyDescent="0.2">
      <c r="B81" s="96">
        <f t="shared" si="0"/>
        <v>13.3</v>
      </c>
      <c r="F81" s="2" t="s">
        <v>224</v>
      </c>
      <c r="L81" s="48"/>
      <c r="M81" s="75">
        <f t="shared" si="1"/>
        <v>51.065229281711737</v>
      </c>
      <c r="N81" s="48"/>
      <c r="O81" s="48"/>
      <c r="P81" s="48"/>
    </row>
    <row r="82" spans="2:16" x14ac:dyDescent="0.2">
      <c r="B82" s="96">
        <f t="shared" si="0"/>
        <v>19</v>
      </c>
      <c r="F82" s="2" t="s">
        <v>224</v>
      </c>
      <c r="L82" s="48"/>
      <c r="M82" s="75">
        <f t="shared" si="1"/>
        <v>72.950327545302471</v>
      </c>
      <c r="N82" s="48"/>
      <c r="O82" s="48"/>
      <c r="P82" s="48"/>
    </row>
    <row r="83" spans="2:16" x14ac:dyDescent="0.2">
      <c r="B83" s="96">
        <f t="shared" si="0"/>
        <v>23.94</v>
      </c>
      <c r="F83" s="2" t="s">
        <v>224</v>
      </c>
      <c r="L83" s="48"/>
      <c r="M83" s="75">
        <f t="shared" si="1"/>
        <v>91.917412707081127</v>
      </c>
      <c r="N83" s="48"/>
      <c r="O83" s="48"/>
      <c r="P83" s="48"/>
    </row>
    <row r="84" spans="2:16" x14ac:dyDescent="0.2">
      <c r="B84" s="96">
        <f t="shared" si="0"/>
        <v>30.4</v>
      </c>
      <c r="F84" s="2" t="s">
        <v>224</v>
      </c>
      <c r="L84" s="48"/>
      <c r="M84" s="75">
        <f t="shared" si="1"/>
        <v>116.72052407248395</v>
      </c>
      <c r="N84" s="48"/>
      <c r="O84" s="48"/>
      <c r="P84" s="48"/>
    </row>
    <row r="85" spans="2:16" x14ac:dyDescent="0.2">
      <c r="B85" s="96">
        <f t="shared" si="0"/>
        <v>38</v>
      </c>
      <c r="F85" s="2" t="s">
        <v>224</v>
      </c>
      <c r="L85" s="48"/>
      <c r="M85" s="75">
        <f t="shared" si="1"/>
        <v>145.90065509060494</v>
      </c>
      <c r="N85" s="48"/>
      <c r="O85" s="48"/>
      <c r="P85" s="48"/>
    </row>
    <row r="86" spans="2:16" x14ac:dyDescent="0.2">
      <c r="B86" s="96">
        <f t="shared" si="0"/>
        <v>47.5</v>
      </c>
      <c r="F86" s="2" t="s">
        <v>224</v>
      </c>
      <c r="L86" s="48"/>
      <c r="M86" s="75">
        <f t="shared" si="1"/>
        <v>182.37581886325617</v>
      </c>
      <c r="N86" s="48"/>
      <c r="O86" s="48"/>
      <c r="P86" s="48"/>
    </row>
    <row r="87" spans="2:16" x14ac:dyDescent="0.2">
      <c r="B87" s="96">
        <f t="shared" si="0"/>
        <v>60.8</v>
      </c>
      <c r="F87" s="2" t="s">
        <v>224</v>
      </c>
      <c r="L87" s="48"/>
      <c r="M87" s="75">
        <f t="shared" si="1"/>
        <v>233.44104814496791</v>
      </c>
      <c r="N87" s="48"/>
      <c r="O87" s="48"/>
      <c r="P87" s="48"/>
    </row>
    <row r="88" spans="2:16" x14ac:dyDescent="0.2">
      <c r="B88" s="96">
        <f t="shared" si="0"/>
        <v>76</v>
      </c>
      <c r="F88" s="2" t="s">
        <v>224</v>
      </c>
      <c r="L88" s="48"/>
      <c r="M88" s="75">
        <f t="shared" si="1"/>
        <v>291.80131018120989</v>
      </c>
      <c r="N88" s="48"/>
      <c r="O88" s="48"/>
      <c r="P88" s="48"/>
    </row>
    <row r="89" spans="2:16" x14ac:dyDescent="0.2">
      <c r="B89" s="96">
        <f t="shared" si="0"/>
        <v>85.5</v>
      </c>
      <c r="F89" s="2" t="s">
        <v>224</v>
      </c>
      <c r="L89" s="48"/>
      <c r="M89" s="75">
        <f t="shared" si="1"/>
        <v>328.27647395386111</v>
      </c>
      <c r="N89" s="48"/>
      <c r="O89" s="48"/>
      <c r="P89" s="48"/>
    </row>
    <row r="90" spans="2:16" x14ac:dyDescent="0.2">
      <c r="B90" s="96">
        <f t="shared" si="0"/>
        <v>95</v>
      </c>
      <c r="F90" s="2" t="s">
        <v>224</v>
      </c>
      <c r="L90" s="48"/>
      <c r="M90" s="75">
        <f t="shared" si="1"/>
        <v>364.75163772651234</v>
      </c>
      <c r="N90" s="48"/>
      <c r="O90" s="48"/>
      <c r="P90" s="48"/>
    </row>
    <row r="91" spans="2:16" x14ac:dyDescent="0.2">
      <c r="B91" s="96">
        <f t="shared" si="0"/>
        <v>119.7</v>
      </c>
      <c r="F91" s="2" t="s">
        <v>224</v>
      </c>
      <c r="L91" s="48"/>
      <c r="M91" s="75">
        <f t="shared" si="1"/>
        <v>459.5870635354056</v>
      </c>
      <c r="N91" s="48"/>
      <c r="O91" s="48"/>
      <c r="P91" s="48"/>
    </row>
    <row r="92" spans="2:16" x14ac:dyDescent="0.2">
      <c r="B92" s="96">
        <f t="shared" si="0"/>
        <v>175</v>
      </c>
      <c r="F92" s="2" t="s">
        <v>224</v>
      </c>
      <c r="L92" s="48"/>
      <c r="M92" s="75">
        <f t="shared" si="1"/>
        <v>671.91091160147016</v>
      </c>
      <c r="N92" s="48"/>
      <c r="O92" s="48"/>
      <c r="P92" s="48"/>
    </row>
    <row r="93" spans="2:16" x14ac:dyDescent="0.2">
      <c r="B93" s="96">
        <f t="shared" si="0"/>
        <v>200</v>
      </c>
      <c r="F93" s="2" t="s">
        <v>224</v>
      </c>
      <c r="L93" s="48"/>
      <c r="M93" s="75">
        <f t="shared" si="1"/>
        <v>767.89818468739441</v>
      </c>
      <c r="N93" s="48"/>
      <c r="O93" s="48"/>
      <c r="P93" s="48"/>
    </row>
    <row r="95" spans="2:16" s="8" customFormat="1" x14ac:dyDescent="0.2">
      <c r="B95" s="8" t="s">
        <v>315</v>
      </c>
    </row>
    <row r="97" spans="2:18" x14ac:dyDescent="0.2">
      <c r="B97" s="1" t="s">
        <v>249</v>
      </c>
    </row>
    <row r="98" spans="2:18" x14ac:dyDescent="0.2">
      <c r="B98" s="2" t="s">
        <v>238</v>
      </c>
      <c r="F98" s="2" t="s">
        <v>205</v>
      </c>
      <c r="L98" s="48"/>
      <c r="M98" s="99">
        <f>M52</f>
        <v>40</v>
      </c>
      <c r="N98" s="48"/>
      <c r="O98" s="48"/>
      <c r="P98" s="48"/>
      <c r="R98" s="2" t="s">
        <v>454</v>
      </c>
    </row>
    <row r="100" spans="2:18" x14ac:dyDescent="0.2">
      <c r="B100" s="1" t="s">
        <v>317</v>
      </c>
    </row>
    <row r="101" spans="2:18" x14ac:dyDescent="0.2">
      <c r="B101" s="2" t="s">
        <v>157</v>
      </c>
      <c r="F101" s="2" t="s">
        <v>205</v>
      </c>
      <c r="L101" s="48"/>
      <c r="M101" s="99">
        <f>M53*(1+$H$13)</f>
        <v>305.43662127586322</v>
      </c>
      <c r="N101" s="48"/>
      <c r="O101" s="48"/>
      <c r="P101" s="48"/>
    </row>
    <row r="102" spans="2:18" x14ac:dyDescent="0.2">
      <c r="B102" s="2" t="s">
        <v>158</v>
      </c>
      <c r="F102" s="2" t="s">
        <v>205</v>
      </c>
      <c r="L102" s="48"/>
      <c r="M102" s="99">
        <f>M54*(1+$H$13)</f>
        <v>189.55349078801981</v>
      </c>
      <c r="N102" s="48"/>
      <c r="O102" s="48"/>
      <c r="P102" s="48"/>
    </row>
    <row r="103" spans="2:18" x14ac:dyDescent="0.2">
      <c r="B103" s="2" t="s">
        <v>159</v>
      </c>
      <c r="F103" s="2" t="s">
        <v>205</v>
      </c>
      <c r="L103" s="48"/>
      <c r="M103" s="99">
        <f>M55*(1+$H$13)</f>
        <v>205.78594305755018</v>
      </c>
      <c r="N103" s="48"/>
      <c r="O103" s="48"/>
      <c r="P103" s="48"/>
    </row>
    <row r="106" spans="2:18" x14ac:dyDescent="0.2">
      <c r="B106" s="4" t="s">
        <v>65</v>
      </c>
    </row>
  </sheetData>
  <phoneticPr fontId="31" type="noConversion"/>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F022EE-A6D3-47C7-9085-5594E8BBDA3A}">
  <sheetPr>
    <tabColor rgb="FFFFFFCC"/>
  </sheetPr>
  <dimension ref="B2:R43"/>
  <sheetViews>
    <sheetView showGridLines="0" zoomScale="85" zoomScaleNormal="85" workbookViewId="0">
      <pane xSplit="6" ySplit="8" topLeftCell="G9" activePane="bottomRight" state="frozen"/>
      <selection activeCell="H13" sqref="H13"/>
      <selection pane="topRight" activeCell="H13" sqref="H13"/>
      <selection pane="bottomLeft" activeCell="H13" sqref="H13"/>
      <selection pane="bottomRight" activeCell="G9" sqref="G9"/>
    </sheetView>
  </sheetViews>
  <sheetFormatPr defaultColWidth="9.140625" defaultRowHeight="12.75" x14ac:dyDescent="0.2"/>
  <cols>
    <col min="1" max="1" width="4.5703125" style="2" customWidth="1"/>
    <col min="2" max="2" width="64.28515625" style="2" customWidth="1"/>
    <col min="3" max="5" width="4.5703125" style="2" customWidth="1"/>
    <col min="6" max="6" width="15.42578125" style="2" customWidth="1"/>
    <col min="7" max="7" width="2.7109375" style="2" customWidth="1"/>
    <col min="8" max="8" width="13.7109375" style="2" customWidth="1"/>
    <col min="9" max="9" width="2.7109375" style="2" customWidth="1"/>
    <col min="10" max="10" width="13.7109375" style="2" customWidth="1"/>
    <col min="11" max="11" width="2.7109375" style="2" customWidth="1"/>
    <col min="12" max="16" width="21.7109375" style="2" customWidth="1"/>
    <col min="17" max="17" width="2.7109375" style="2" customWidth="1"/>
    <col min="18" max="18" width="30.7109375" style="2" customWidth="1"/>
    <col min="19" max="19" width="2.7109375" style="2" customWidth="1"/>
    <col min="20" max="29" width="12.5703125" style="2" customWidth="1"/>
    <col min="30" max="32" width="2.7109375" style="2" customWidth="1"/>
    <col min="33" max="47" width="13.7109375" style="2" customWidth="1"/>
    <col min="48" max="16384" width="9.140625" style="2"/>
  </cols>
  <sheetData>
    <row r="2" spans="2:18" s="12" customFormat="1" ht="18" x14ac:dyDescent="0.2">
      <c r="B2" s="12" t="s">
        <v>607</v>
      </c>
    </row>
    <row r="4" spans="2:18" x14ac:dyDescent="0.2">
      <c r="B4" s="19" t="s">
        <v>12</v>
      </c>
      <c r="C4" s="1"/>
      <c r="D4" s="1"/>
    </row>
    <row r="5" spans="2:18" x14ac:dyDescent="0.2">
      <c r="B5" s="2" t="s">
        <v>608</v>
      </c>
      <c r="C5" s="3"/>
      <c r="D5" s="3"/>
      <c r="H5" s="13"/>
    </row>
    <row r="7" spans="2:18" s="8" customFormat="1" ht="12.75" customHeight="1" x14ac:dyDescent="0.2">
      <c r="B7" s="8" t="s">
        <v>103</v>
      </c>
      <c r="F7" s="8" t="s">
        <v>104</v>
      </c>
      <c r="H7" s="8" t="s">
        <v>37</v>
      </c>
      <c r="J7" s="8" t="s">
        <v>38</v>
      </c>
      <c r="L7" s="8" t="s">
        <v>257</v>
      </c>
      <c r="M7" s="8" t="s">
        <v>73</v>
      </c>
      <c r="N7" s="8" t="s">
        <v>74</v>
      </c>
      <c r="O7" s="8" t="s">
        <v>75</v>
      </c>
      <c r="P7" s="8" t="s">
        <v>76</v>
      </c>
      <c r="R7" s="8" t="s">
        <v>39</v>
      </c>
    </row>
    <row r="10" spans="2:18" s="8" customFormat="1" x14ac:dyDescent="0.2">
      <c r="B10" s="8" t="s">
        <v>41</v>
      </c>
    </row>
    <row r="12" spans="2:18" x14ac:dyDescent="0.2">
      <c r="B12" s="19" t="s">
        <v>318</v>
      </c>
    </row>
    <row r="13" spans="2:18" x14ac:dyDescent="0.2">
      <c r="B13" s="2" t="s">
        <v>319</v>
      </c>
      <c r="F13" s="2" t="s">
        <v>127</v>
      </c>
      <c r="L13" s="48"/>
      <c r="M13" s="48"/>
      <c r="N13" s="26">
        <f>'Estimates for 2024'!N14</f>
        <v>197952.55799999996</v>
      </c>
      <c r="O13" s="48"/>
      <c r="P13" s="48"/>
    </row>
    <row r="14" spans="2:18" x14ac:dyDescent="0.2">
      <c r="B14" s="2" t="s">
        <v>148</v>
      </c>
      <c r="F14" s="2" t="s">
        <v>149</v>
      </c>
      <c r="L14" s="48"/>
      <c r="M14" s="48"/>
      <c r="N14" s="98">
        <f>'Estimates for 2024'!N40</f>
        <v>4.511265293942107</v>
      </c>
      <c r="O14" s="48"/>
      <c r="P14" s="48"/>
    </row>
    <row r="16" spans="2:18" x14ac:dyDescent="0.2">
      <c r="B16" s="1" t="s">
        <v>296</v>
      </c>
    </row>
    <row r="17" spans="2:16" x14ac:dyDescent="0.2">
      <c r="B17" s="2" t="s">
        <v>439</v>
      </c>
      <c r="F17" s="2" t="s">
        <v>205</v>
      </c>
      <c r="L17" s="48"/>
      <c r="M17" s="48"/>
      <c r="N17" s="129">
        <f>'Calculation cost base 2024'!N76</f>
        <v>840589.30855228577</v>
      </c>
      <c r="O17" s="48"/>
      <c r="P17" s="48"/>
    </row>
    <row r="18" spans="2:16" x14ac:dyDescent="0.2">
      <c r="B18" s="2" t="s">
        <v>441</v>
      </c>
      <c r="F18" s="2" t="s">
        <v>205</v>
      </c>
      <c r="L18" s="48"/>
      <c r="M18" s="48"/>
      <c r="N18" s="129">
        <f>'Overview corrections'!N36</f>
        <v>34882.565998733189</v>
      </c>
      <c r="O18" s="48"/>
      <c r="P18" s="48"/>
    </row>
    <row r="19" spans="2:16" x14ac:dyDescent="0.2">
      <c r="B19" s="32" t="s">
        <v>388</v>
      </c>
      <c r="F19" s="2" t="s">
        <v>205</v>
      </c>
      <c r="L19" s="48"/>
      <c r="M19" s="48"/>
      <c r="N19" s="129">
        <f>'Overview corrections'!N37</f>
        <v>-29354.710855463785</v>
      </c>
      <c r="O19" s="48"/>
      <c r="P19" s="48"/>
    </row>
    <row r="20" spans="2:16" x14ac:dyDescent="0.2">
      <c r="B20" s="2" t="s">
        <v>403</v>
      </c>
      <c r="F20" s="2" t="s">
        <v>205</v>
      </c>
      <c r="L20" s="48"/>
      <c r="M20" s="48"/>
      <c r="N20" s="129">
        <f>'Overview corrections'!N38</f>
        <v>-70823.014531242166</v>
      </c>
      <c r="O20" s="48"/>
      <c r="P20" s="48"/>
    </row>
    <row r="21" spans="2:16" x14ac:dyDescent="0.2">
      <c r="B21" s="2" t="s">
        <v>207</v>
      </c>
      <c r="F21" s="2" t="s">
        <v>205</v>
      </c>
      <c r="L21" s="48"/>
      <c r="M21" s="48"/>
      <c r="N21" s="129">
        <f>'Overview corrections'!N39</f>
        <v>-43482.879442117541</v>
      </c>
      <c r="O21" s="48"/>
      <c r="P21" s="48"/>
    </row>
    <row r="23" spans="2:16" x14ac:dyDescent="0.2">
      <c r="B23" s="1" t="s">
        <v>320</v>
      </c>
    </row>
    <row r="24" spans="2:16" x14ac:dyDescent="0.2">
      <c r="B24" s="2" t="s">
        <v>321</v>
      </c>
      <c r="F24" s="2" t="s">
        <v>218</v>
      </c>
      <c r="L24" s="48"/>
      <c r="M24" s="48"/>
      <c r="N24" s="123">
        <f>'Electricity Distribution'!M67</f>
        <v>0.39580820458766236</v>
      </c>
      <c r="O24" s="48"/>
      <c r="P24" s="48"/>
    </row>
    <row r="25" spans="2:16" x14ac:dyDescent="0.2">
      <c r="B25" s="2" t="s">
        <v>322</v>
      </c>
      <c r="F25" s="2" t="s">
        <v>224</v>
      </c>
      <c r="L25" s="48"/>
      <c r="M25" s="48"/>
      <c r="N25" s="26">
        <f>'Electricity Distribution'!M89</f>
        <v>328.27647395386111</v>
      </c>
      <c r="O25" s="48"/>
      <c r="P25" s="48"/>
    </row>
    <row r="28" spans="2:16" s="8" customFormat="1" x14ac:dyDescent="0.2">
      <c r="B28" s="8" t="s">
        <v>329</v>
      </c>
    </row>
    <row r="30" spans="2:16" x14ac:dyDescent="0.2">
      <c r="B30" s="1" t="s">
        <v>296</v>
      </c>
    </row>
    <row r="31" spans="2:16" x14ac:dyDescent="0.2">
      <c r="B31" s="2" t="s">
        <v>440</v>
      </c>
      <c r="F31" s="2" t="s">
        <v>205</v>
      </c>
      <c r="L31" s="48"/>
      <c r="M31" s="48"/>
      <c r="N31" s="27">
        <f>SUM(N17:N21)</f>
        <v>731811.26972219546</v>
      </c>
      <c r="O31" s="48"/>
      <c r="P31" s="48"/>
    </row>
    <row r="33" spans="2:16" x14ac:dyDescent="0.2">
      <c r="B33" s="19" t="s">
        <v>323</v>
      </c>
    </row>
    <row r="34" spans="2:16" x14ac:dyDescent="0.2">
      <c r="B34" s="2" t="s">
        <v>446</v>
      </c>
      <c r="F34" s="2" t="s">
        <v>246</v>
      </c>
      <c r="L34" s="48"/>
      <c r="M34" s="48"/>
      <c r="N34" s="121">
        <f>(N25*12)/N13</f>
        <v>1.9900312111381425E-2</v>
      </c>
      <c r="O34" s="48"/>
      <c r="P34" s="48"/>
    </row>
    <row r="35" spans="2:16" x14ac:dyDescent="0.2">
      <c r="B35" s="2" t="s">
        <v>445</v>
      </c>
      <c r="F35" s="2" t="s">
        <v>246</v>
      </c>
      <c r="L35" s="48"/>
      <c r="M35" s="48"/>
      <c r="N35" s="121">
        <f>N24*N14</f>
        <v>1.7855958164138583</v>
      </c>
      <c r="O35" s="48"/>
      <c r="P35" s="48"/>
    </row>
    <row r="36" spans="2:16" x14ac:dyDescent="0.2">
      <c r="B36" s="2" t="s">
        <v>724</v>
      </c>
      <c r="F36" s="2" t="s">
        <v>205</v>
      </c>
      <c r="L36" s="48"/>
      <c r="M36" s="48"/>
      <c r="N36" s="126">
        <f>N34*N13+N35*N13</f>
        <v>357402.57710066787</v>
      </c>
      <c r="O36" s="48"/>
      <c r="P36" s="48"/>
    </row>
    <row r="37" spans="2:16" x14ac:dyDescent="0.2">
      <c r="N37" s="116"/>
    </row>
    <row r="38" spans="2:16" x14ac:dyDescent="0.2">
      <c r="B38" s="1" t="s">
        <v>324</v>
      </c>
      <c r="N38" s="116"/>
    </row>
    <row r="39" spans="2:16" x14ac:dyDescent="0.2">
      <c r="B39" s="2" t="s">
        <v>325</v>
      </c>
      <c r="F39" s="2" t="s">
        <v>246</v>
      </c>
      <c r="L39" s="48"/>
      <c r="M39" s="48"/>
      <c r="N39" s="124">
        <f>N31/N13</f>
        <v>3.6969023139483532</v>
      </c>
      <c r="O39" s="48"/>
      <c r="P39" s="48"/>
    </row>
    <row r="40" spans="2:16" x14ac:dyDescent="0.2">
      <c r="B40" s="2" t="s">
        <v>245</v>
      </c>
      <c r="F40" s="2" t="s">
        <v>246</v>
      </c>
      <c r="L40" s="48"/>
      <c r="M40" s="48"/>
      <c r="N40" s="124">
        <f>N39+N34+N35</f>
        <v>5.5023984424735932</v>
      </c>
      <c r="O40" s="48"/>
      <c r="P40" s="48"/>
    </row>
    <row r="42" spans="2:16" x14ac:dyDescent="0.2">
      <c r="P42" s="115"/>
    </row>
    <row r="43" spans="2:16" x14ac:dyDescent="0.2">
      <c r="B43" s="4" t="s">
        <v>65</v>
      </c>
    </row>
  </sheetData>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1BC0A7-95C3-46E2-BA28-90A836436359}">
  <sheetPr>
    <tabColor rgb="FFFFFFCC"/>
  </sheetPr>
  <dimension ref="B2:R77"/>
  <sheetViews>
    <sheetView showGridLines="0" zoomScale="85" zoomScaleNormal="85" workbookViewId="0">
      <pane xSplit="6" ySplit="8" topLeftCell="G9" activePane="bottomRight" state="frozen"/>
      <selection activeCell="U34" sqref="U34"/>
      <selection pane="topRight" activeCell="U34" sqref="U34"/>
      <selection pane="bottomLeft" activeCell="U34" sqref="U34"/>
      <selection pane="bottomRight" activeCell="G9" sqref="G9"/>
    </sheetView>
  </sheetViews>
  <sheetFormatPr defaultColWidth="9.140625" defaultRowHeight="12.75" x14ac:dyDescent="0.2"/>
  <cols>
    <col min="1" max="1" width="4.5703125" style="2" customWidth="1"/>
    <col min="2" max="2" width="64.28515625" style="2" customWidth="1"/>
    <col min="3" max="5" width="4.5703125" style="2" customWidth="1"/>
    <col min="6" max="6" width="15.42578125" style="2" customWidth="1"/>
    <col min="7" max="7" width="2.7109375" style="2" customWidth="1"/>
    <col min="8" max="8" width="13.7109375" style="2" customWidth="1"/>
    <col min="9" max="9" width="2.7109375" style="2" customWidth="1"/>
    <col min="10" max="10" width="13.7109375" style="2" customWidth="1"/>
    <col min="11" max="11" width="2.7109375" style="2" customWidth="1"/>
    <col min="12" max="16" width="21.7109375" style="2" customWidth="1"/>
    <col min="17" max="17" width="2.7109375" style="2" customWidth="1"/>
    <col min="18" max="18" width="30.7109375" style="2" customWidth="1"/>
    <col min="19" max="19" width="2.7109375" style="2" customWidth="1"/>
    <col min="20" max="29" width="12.5703125" style="2" customWidth="1"/>
    <col min="30" max="32" width="2.7109375" style="2" customWidth="1"/>
    <col min="33" max="47" width="13.7109375" style="2" customWidth="1"/>
    <col min="48" max="16384" width="9.140625" style="2"/>
  </cols>
  <sheetData>
    <row r="2" spans="2:18" s="12" customFormat="1" ht="18" x14ac:dyDescent="0.2">
      <c r="B2" s="12" t="s">
        <v>609</v>
      </c>
    </row>
    <row r="4" spans="2:18" x14ac:dyDescent="0.2">
      <c r="B4" s="19" t="s">
        <v>12</v>
      </c>
      <c r="C4" s="1"/>
      <c r="D4" s="1"/>
    </row>
    <row r="5" spans="2:18" x14ac:dyDescent="0.2">
      <c r="B5" s="2" t="s">
        <v>610</v>
      </c>
      <c r="C5" s="3"/>
      <c r="D5" s="3"/>
      <c r="H5" s="13"/>
    </row>
    <row r="7" spans="2:18" s="8" customFormat="1" ht="12.75" customHeight="1" x14ac:dyDescent="0.2">
      <c r="B7" s="8" t="s">
        <v>103</v>
      </c>
      <c r="F7" s="8" t="s">
        <v>104</v>
      </c>
      <c r="H7" s="8" t="s">
        <v>37</v>
      </c>
      <c r="J7" s="8" t="s">
        <v>38</v>
      </c>
      <c r="L7" s="8" t="s">
        <v>257</v>
      </c>
      <c r="M7" s="8" t="s">
        <v>73</v>
      </c>
      <c r="N7" s="8" t="s">
        <v>74</v>
      </c>
      <c r="O7" s="8" t="s">
        <v>75</v>
      </c>
      <c r="P7" s="8" t="s">
        <v>76</v>
      </c>
      <c r="R7" s="8" t="s">
        <v>39</v>
      </c>
    </row>
    <row r="10" spans="2:18" s="8" customFormat="1" x14ac:dyDescent="0.2">
      <c r="B10" s="8" t="s">
        <v>41</v>
      </c>
    </row>
    <row r="12" spans="2:18" x14ac:dyDescent="0.2">
      <c r="B12" s="1" t="s">
        <v>67</v>
      </c>
    </row>
    <row r="13" spans="2:18" x14ac:dyDescent="0.2">
      <c r="B13" s="2" t="s">
        <v>90</v>
      </c>
      <c r="F13" s="2" t="s">
        <v>88</v>
      </c>
      <c r="H13" s="84">
        <f>Parameters!H28</f>
        <v>-1.0999999999999999E-2</v>
      </c>
    </row>
    <row r="15" spans="2:18" x14ac:dyDescent="0.2">
      <c r="B15" s="19" t="s">
        <v>216</v>
      </c>
    </row>
    <row r="16" spans="2:18" x14ac:dyDescent="0.2">
      <c r="B16" s="2" t="s">
        <v>245</v>
      </c>
      <c r="F16" s="2" t="s">
        <v>246</v>
      </c>
      <c r="L16" s="48"/>
      <c r="M16" s="48"/>
      <c r="N16" s="123">
        <f>'Water Production'!N40</f>
        <v>5.5023984424735932</v>
      </c>
      <c r="O16" s="48"/>
      <c r="P16" s="48"/>
    </row>
    <row r="18" spans="2:16" x14ac:dyDescent="0.2">
      <c r="B18" s="1" t="s">
        <v>306</v>
      </c>
    </row>
    <row r="19" spans="2:16" x14ac:dyDescent="0.2">
      <c r="B19" s="2" t="s">
        <v>326</v>
      </c>
      <c r="F19" s="2" t="s">
        <v>88</v>
      </c>
      <c r="L19" s="48"/>
      <c r="M19" s="48"/>
      <c r="N19" s="48"/>
      <c r="O19" s="97">
        <f>'Estimates for 2024'!O17</f>
        <v>0.22</v>
      </c>
      <c r="P19" s="48"/>
    </row>
    <row r="20" spans="2:16" x14ac:dyDescent="0.2">
      <c r="B20" s="2" t="s">
        <v>447</v>
      </c>
      <c r="F20" s="2" t="s">
        <v>205</v>
      </c>
      <c r="L20" s="48"/>
      <c r="M20" s="48"/>
      <c r="N20" s="48"/>
      <c r="O20" s="26">
        <f>'Overview corrections'!O44</f>
        <v>190818.1150114706</v>
      </c>
      <c r="P20" s="48"/>
    </row>
    <row r="22" spans="2:16" x14ac:dyDescent="0.2">
      <c r="B22" s="1" t="s">
        <v>296</v>
      </c>
    </row>
    <row r="23" spans="2:16" x14ac:dyDescent="0.2">
      <c r="B23" s="2" t="s">
        <v>293</v>
      </c>
      <c r="F23" s="2" t="s">
        <v>205</v>
      </c>
      <c r="L23" s="48"/>
      <c r="M23" s="48"/>
      <c r="N23" s="48"/>
      <c r="O23" s="26">
        <f>'Calculation cost base 2024'!O76</f>
        <v>1227024.9785200479</v>
      </c>
      <c r="P23" s="26">
        <f>'Calculation cost base 2024'!P76</f>
        <v>11478.75431062296</v>
      </c>
    </row>
    <row r="24" spans="2:16" x14ac:dyDescent="0.2">
      <c r="B24" s="2" t="s">
        <v>441</v>
      </c>
      <c r="F24" s="2" t="s">
        <v>205</v>
      </c>
      <c r="L24" s="48"/>
      <c r="M24" s="48"/>
      <c r="N24" s="48"/>
      <c r="O24" s="26">
        <f>'Overview corrections'!O36</f>
        <v>59262.988265172622</v>
      </c>
      <c r="P24" s="26">
        <f>'Overview corrections'!P36</f>
        <v>1210.5603158897227</v>
      </c>
    </row>
    <row r="25" spans="2:16" x14ac:dyDescent="0.2">
      <c r="B25" s="32" t="s">
        <v>388</v>
      </c>
      <c r="F25" s="2" t="s">
        <v>205</v>
      </c>
      <c r="L25" s="48"/>
      <c r="M25" s="48"/>
      <c r="N25" s="48"/>
      <c r="O25" s="26">
        <f>'Overview corrections'!O37</f>
        <v>4239.5938507465135</v>
      </c>
      <c r="P25" s="26">
        <f>'Overview corrections'!P37</f>
        <v>-12318.093757467785</v>
      </c>
    </row>
    <row r="26" spans="2:16" x14ac:dyDescent="0.2">
      <c r="B26" s="2" t="s">
        <v>403</v>
      </c>
      <c r="F26" s="2" t="s">
        <v>205</v>
      </c>
      <c r="L26" s="48"/>
      <c r="M26" s="48"/>
      <c r="N26" s="48"/>
      <c r="O26" s="26">
        <f>'Overview corrections'!O38</f>
        <v>25678.855541445715</v>
      </c>
      <c r="P26" s="26">
        <f>'Overview corrections'!P38</f>
        <v>8207.7448921626055</v>
      </c>
    </row>
    <row r="27" spans="2:16" x14ac:dyDescent="0.2">
      <c r="L27" s="20"/>
      <c r="M27" s="20"/>
      <c r="N27" s="20"/>
      <c r="O27" s="20"/>
      <c r="P27" s="20"/>
    </row>
    <row r="28" spans="2:16" x14ac:dyDescent="0.2">
      <c r="B28" s="1" t="s">
        <v>327</v>
      </c>
    </row>
    <row r="29" spans="2:16" x14ac:dyDescent="0.2">
      <c r="B29" s="20" t="s">
        <v>36</v>
      </c>
      <c r="C29" s="20"/>
      <c r="D29" s="20"/>
      <c r="E29" s="20"/>
      <c r="F29" s="20" t="s">
        <v>124</v>
      </c>
      <c r="N29" s="20" t="s">
        <v>127</v>
      </c>
      <c r="O29" s="20" t="s">
        <v>128</v>
      </c>
      <c r="P29" s="20" t="s">
        <v>127</v>
      </c>
    </row>
    <row r="30" spans="2:16" x14ac:dyDescent="0.2">
      <c r="B30" s="2" t="s">
        <v>449</v>
      </c>
      <c r="F30" s="20" t="s">
        <v>124</v>
      </c>
      <c r="L30" s="48"/>
      <c r="M30" s="48"/>
      <c r="N30" s="26">
        <f>'Estimates for 2024'!N14</f>
        <v>197952.55799999996</v>
      </c>
      <c r="O30" s="26">
        <f>'Estimates for 2024'!O68</f>
        <v>1149.8493807187922</v>
      </c>
      <c r="P30" s="26">
        <f>'Estimates for 2024'!P27</f>
        <v>1979.52558</v>
      </c>
    </row>
    <row r="32" spans="2:16" x14ac:dyDescent="0.2">
      <c r="B32" s="19" t="s">
        <v>333</v>
      </c>
    </row>
    <row r="33" spans="2:16" x14ac:dyDescent="0.2">
      <c r="B33" s="2" t="s">
        <v>334</v>
      </c>
      <c r="F33" s="2" t="s">
        <v>155</v>
      </c>
      <c r="L33" s="48"/>
      <c r="M33" s="48"/>
      <c r="N33" s="48"/>
      <c r="O33" s="92">
        <f>'Historical data'!O55</f>
        <v>275.97597387358206</v>
      </c>
      <c r="P33" s="48"/>
    </row>
    <row r="34" spans="2:16" x14ac:dyDescent="0.2">
      <c r="B34" s="2" t="s">
        <v>335</v>
      </c>
      <c r="F34" s="2" t="s">
        <v>155</v>
      </c>
      <c r="L34" s="48"/>
      <c r="M34" s="48"/>
      <c r="N34" s="48"/>
      <c r="O34" s="92">
        <f>'Historical data'!O56</f>
        <v>191.6617702608896</v>
      </c>
      <c r="P34" s="48"/>
    </row>
    <row r="35" spans="2:16" x14ac:dyDescent="0.2">
      <c r="B35" s="2" t="s">
        <v>238</v>
      </c>
      <c r="F35" s="2" t="s">
        <v>155</v>
      </c>
      <c r="L35" s="48"/>
      <c r="M35" s="48"/>
      <c r="N35" s="48"/>
      <c r="O35" s="92">
        <f>'Historical data'!O62</f>
        <v>40</v>
      </c>
      <c r="P35" s="48"/>
    </row>
    <row r="37" spans="2:16" s="8" customFormat="1" x14ac:dyDescent="0.2">
      <c r="B37" s="8" t="s">
        <v>328</v>
      </c>
    </row>
    <row r="39" spans="2:16" x14ac:dyDescent="0.2">
      <c r="B39" s="19" t="s">
        <v>611</v>
      </c>
    </row>
    <row r="40" spans="2:16" x14ac:dyDescent="0.2">
      <c r="B40" s="2" t="s">
        <v>549</v>
      </c>
      <c r="F40" s="2" t="s">
        <v>246</v>
      </c>
      <c r="L40" s="48"/>
      <c r="M40" s="48"/>
      <c r="N40" s="123">
        <f>N16</f>
        <v>5.5023984424735932</v>
      </c>
      <c r="O40" s="130"/>
      <c r="P40" s="48"/>
    </row>
    <row r="41" spans="2:16" x14ac:dyDescent="0.2">
      <c r="B41" s="2" t="s">
        <v>550</v>
      </c>
      <c r="F41" s="2" t="s">
        <v>246</v>
      </c>
      <c r="L41" s="48"/>
      <c r="M41" s="48"/>
      <c r="N41" s="130"/>
      <c r="O41" s="121">
        <f>O20/N30</f>
        <v>0.96395882396968391</v>
      </c>
      <c r="P41" s="48"/>
    </row>
    <row r="43" spans="2:16" x14ac:dyDescent="0.2">
      <c r="B43" s="19" t="s">
        <v>309</v>
      </c>
    </row>
    <row r="44" spans="2:16" x14ac:dyDescent="0.2">
      <c r="B44" s="2" t="s">
        <v>247</v>
      </c>
      <c r="F44" s="2" t="s">
        <v>246</v>
      </c>
      <c r="L44" s="48"/>
      <c r="M44" s="48"/>
      <c r="N44" s="48"/>
      <c r="O44" s="73">
        <f>(N40+O41)/(1-O19)</f>
        <v>8.2902016236452258</v>
      </c>
      <c r="P44" s="48"/>
    </row>
    <row r="46" spans="2:16" s="8" customFormat="1" x14ac:dyDescent="0.2">
      <c r="B46" s="8" t="s">
        <v>330</v>
      </c>
    </row>
    <row r="48" spans="2:16" x14ac:dyDescent="0.2">
      <c r="B48" s="1" t="s">
        <v>248</v>
      </c>
    </row>
    <row r="49" spans="2:18" x14ac:dyDescent="0.2">
      <c r="B49" s="2" t="s">
        <v>440</v>
      </c>
      <c r="F49" s="2" t="s">
        <v>205</v>
      </c>
      <c r="L49" s="48"/>
      <c r="M49" s="48"/>
      <c r="N49" s="48"/>
      <c r="O49" s="27">
        <f>SUM(O23:O26)</f>
        <v>1316206.4161774127</v>
      </c>
      <c r="P49" s="48"/>
    </row>
    <row r="50" spans="2:18" x14ac:dyDescent="0.2">
      <c r="B50" s="2" t="s">
        <v>331</v>
      </c>
      <c r="F50" s="2" t="s">
        <v>224</v>
      </c>
      <c r="L50" s="48"/>
      <c r="M50" s="48"/>
      <c r="N50" s="48"/>
      <c r="O50" s="75">
        <f>O49/O30/12</f>
        <v>95.389770046420324</v>
      </c>
      <c r="P50" s="48"/>
    </row>
    <row r="52" spans="2:18" x14ac:dyDescent="0.2">
      <c r="B52" s="1" t="s">
        <v>249</v>
      </c>
    </row>
    <row r="53" spans="2:18" x14ac:dyDescent="0.2">
      <c r="B53" s="2" t="s">
        <v>238</v>
      </c>
      <c r="F53" s="2" t="s">
        <v>205</v>
      </c>
      <c r="L53" s="48"/>
      <c r="M53" s="48"/>
      <c r="N53" s="48"/>
      <c r="O53" s="75">
        <f>O35</f>
        <v>40</v>
      </c>
      <c r="P53" s="48"/>
      <c r="R53" s="2" t="s">
        <v>241</v>
      </c>
    </row>
    <row r="55" spans="2:18" x14ac:dyDescent="0.2">
      <c r="B55" s="1" t="s">
        <v>250</v>
      </c>
    </row>
    <row r="56" spans="2:18" x14ac:dyDescent="0.2">
      <c r="B56" s="2" t="s">
        <v>251</v>
      </c>
      <c r="F56" s="2" t="s">
        <v>205</v>
      </c>
      <c r="L56" s="48"/>
      <c r="M56" s="48"/>
      <c r="N56" s="48"/>
      <c r="O56" s="75">
        <f>O33*(1+$H$13)</f>
        <v>272.94023816097268</v>
      </c>
      <c r="P56" s="48"/>
    </row>
    <row r="57" spans="2:18" x14ac:dyDescent="0.2">
      <c r="B57" s="2" t="s">
        <v>252</v>
      </c>
      <c r="F57" s="2" t="s">
        <v>205</v>
      </c>
      <c r="L57" s="48"/>
      <c r="M57" s="48"/>
      <c r="N57" s="48"/>
      <c r="O57" s="75">
        <f>O34*(1+$H$13)</f>
        <v>189.55349078801981</v>
      </c>
      <c r="P57" s="48"/>
    </row>
    <row r="59" spans="2:18" s="8" customFormat="1" x14ac:dyDescent="0.2">
      <c r="B59" s="8" t="s">
        <v>612</v>
      </c>
    </row>
    <row r="61" spans="2:18" x14ac:dyDescent="0.2">
      <c r="B61" s="1" t="s">
        <v>253</v>
      </c>
    </row>
    <row r="62" spans="2:18" x14ac:dyDescent="0.2">
      <c r="B62" s="2" t="s">
        <v>245</v>
      </c>
      <c r="F62" s="2" t="s">
        <v>246</v>
      </c>
      <c r="L62" s="48"/>
      <c r="M62" s="48"/>
      <c r="N62" s="94">
        <f>N16</f>
        <v>5.5023984424735932</v>
      </c>
      <c r="O62" s="48"/>
      <c r="P62" s="48"/>
    </row>
    <row r="63" spans="2:18" x14ac:dyDescent="0.2">
      <c r="B63" s="2" t="s">
        <v>440</v>
      </c>
      <c r="F63" s="2" t="s">
        <v>205</v>
      </c>
      <c r="L63" s="48"/>
      <c r="M63" s="48"/>
      <c r="N63" s="48"/>
      <c r="O63" s="48"/>
      <c r="P63" s="126">
        <f>SUM(P23:P26)</f>
        <v>8578.9657612075043</v>
      </c>
    </row>
    <row r="64" spans="2:18" x14ac:dyDescent="0.2">
      <c r="B64" s="2" t="s">
        <v>613</v>
      </c>
      <c r="F64" s="2" t="s">
        <v>246</v>
      </c>
      <c r="L64" s="48"/>
      <c r="M64" s="48"/>
      <c r="N64" s="48"/>
      <c r="O64" s="48"/>
      <c r="P64" s="125">
        <f>P63/P30</f>
        <v>4.3338494070925337</v>
      </c>
    </row>
    <row r="65" spans="2:16" x14ac:dyDescent="0.2">
      <c r="B65" s="2" t="s">
        <v>332</v>
      </c>
      <c r="F65" s="2" t="s">
        <v>246</v>
      </c>
      <c r="L65" s="48"/>
      <c r="M65" s="48"/>
      <c r="N65" s="48"/>
      <c r="O65" s="48"/>
      <c r="P65" s="124">
        <f>N62+P64</f>
        <v>9.8362478495661279</v>
      </c>
    </row>
    <row r="68" spans="2:16" x14ac:dyDescent="0.2">
      <c r="B68" s="4" t="s">
        <v>65</v>
      </c>
    </row>
    <row r="77" spans="2:16" x14ac:dyDescent="0.2">
      <c r="B77" s="32"/>
    </row>
  </sheetData>
  <phoneticPr fontId="31" type="noConversion"/>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133AD3-F2E6-405E-97AE-10DC7D5C3661}">
  <sheetPr>
    <tabColor rgb="FFCCFFFF"/>
  </sheetPr>
  <dimension ref="B2:AB93"/>
  <sheetViews>
    <sheetView showGridLines="0" zoomScale="85" zoomScaleNormal="85" workbookViewId="0"/>
  </sheetViews>
  <sheetFormatPr defaultRowHeight="12.75" x14ac:dyDescent="0.2"/>
  <cols>
    <col min="1" max="1" width="9.140625" style="67"/>
    <col min="2" max="2" width="4.5703125" style="67" customWidth="1"/>
    <col min="3" max="3" width="52.5703125" style="67" customWidth="1"/>
    <col min="4" max="4" width="19.7109375" style="67" customWidth="1"/>
    <col min="5" max="6" width="14" style="67" customWidth="1"/>
    <col min="7" max="7" width="5.5703125" style="67" customWidth="1"/>
    <col min="8" max="8" width="20.140625" style="67" customWidth="1"/>
    <col min="9" max="9" width="4.5703125" style="67" customWidth="1"/>
    <col min="10" max="10" width="9.140625" style="67"/>
    <col min="11" max="11" width="10.28515625" style="67" bestFit="1" customWidth="1"/>
    <col min="12" max="16384" width="9.140625" style="67"/>
  </cols>
  <sheetData>
    <row r="2" spans="2:7" s="7" customFormat="1" ht="18" x14ac:dyDescent="0.2">
      <c r="C2" s="7" t="s">
        <v>615</v>
      </c>
    </row>
    <row r="3" spans="2:7" x14ac:dyDescent="0.2">
      <c r="B3" s="2"/>
      <c r="C3" s="2"/>
      <c r="D3" s="2"/>
      <c r="E3" s="2"/>
      <c r="F3" s="2"/>
      <c r="G3" s="2"/>
    </row>
    <row r="4" spans="2:7" x14ac:dyDescent="0.2">
      <c r="B4" s="2"/>
      <c r="C4" s="19" t="s">
        <v>103</v>
      </c>
      <c r="D4" s="2"/>
      <c r="E4" s="2"/>
      <c r="F4" s="2"/>
      <c r="G4" s="2"/>
    </row>
    <row r="5" spans="2:7" x14ac:dyDescent="0.2">
      <c r="B5" s="2"/>
      <c r="C5" s="2" t="s">
        <v>649</v>
      </c>
      <c r="D5" s="2"/>
      <c r="E5" s="13"/>
      <c r="F5" s="2"/>
      <c r="G5" s="2"/>
    </row>
    <row r="6" spans="2:7" x14ac:dyDescent="0.2">
      <c r="B6" s="2"/>
      <c r="C6" s="2"/>
      <c r="D6" s="2"/>
      <c r="E6" s="2"/>
      <c r="F6" s="2"/>
      <c r="G6" s="2"/>
    </row>
    <row r="7" spans="2:7" s="8" customFormat="1" x14ac:dyDescent="0.2">
      <c r="C7" s="8" t="s">
        <v>616</v>
      </c>
      <c r="D7" s="8" t="s">
        <v>36</v>
      </c>
    </row>
    <row r="9" spans="2:7" x14ac:dyDescent="0.2">
      <c r="C9" s="1" t="s">
        <v>617</v>
      </c>
      <c r="D9" s="67" t="s">
        <v>650</v>
      </c>
      <c r="E9" s="131">
        <f>Result!H14</f>
        <v>0.24319538905379626</v>
      </c>
    </row>
    <row r="10" spans="2:7" x14ac:dyDescent="0.2">
      <c r="C10" s="1"/>
    </row>
    <row r="11" spans="2:7" x14ac:dyDescent="0.2">
      <c r="B11" s="132"/>
      <c r="C11" s="133"/>
      <c r="D11" s="133"/>
      <c r="E11" s="133"/>
      <c r="F11" s="134"/>
    </row>
    <row r="12" spans="2:7" s="8" customFormat="1" x14ac:dyDescent="0.2">
      <c r="B12" s="135"/>
      <c r="C12" s="8" t="s">
        <v>675</v>
      </c>
      <c r="D12" s="8" t="s">
        <v>36</v>
      </c>
      <c r="F12" s="136"/>
    </row>
    <row r="13" spans="2:7" x14ac:dyDescent="0.2">
      <c r="B13" s="137"/>
      <c r="F13" s="138"/>
    </row>
    <row r="14" spans="2:7" x14ac:dyDescent="0.2">
      <c r="B14" s="137"/>
      <c r="C14" s="1" t="s">
        <v>618</v>
      </c>
      <c r="D14" s="67" t="s">
        <v>650</v>
      </c>
      <c r="E14" s="131">
        <f>Result!H19</f>
        <v>0.39580820458766236</v>
      </c>
      <c r="F14" s="138"/>
    </row>
    <row r="15" spans="2:7" x14ac:dyDescent="0.2">
      <c r="B15" s="137"/>
      <c r="F15" s="138"/>
    </row>
    <row r="16" spans="2:7" x14ac:dyDescent="0.2">
      <c r="B16" s="137"/>
      <c r="C16" s="1" t="s">
        <v>619</v>
      </c>
      <c r="F16" s="138"/>
    </row>
    <row r="17" spans="2:28" x14ac:dyDescent="0.2">
      <c r="B17" s="137"/>
      <c r="C17" s="2" t="s">
        <v>620</v>
      </c>
      <c r="D17" s="2" t="s">
        <v>651</v>
      </c>
      <c r="E17" s="139">
        <f>'Electricity Distribution'!M74</f>
        <v>3.8394909234369723</v>
      </c>
      <c r="F17" s="138"/>
    </row>
    <row r="18" spans="2:28" x14ac:dyDescent="0.2">
      <c r="B18" s="137"/>
      <c r="C18" s="2" t="s">
        <v>621</v>
      </c>
      <c r="F18" s="138"/>
    </row>
    <row r="19" spans="2:28" x14ac:dyDescent="0.2">
      <c r="B19" s="137"/>
      <c r="C19" s="2" t="s">
        <v>622</v>
      </c>
      <c r="D19" s="2" t="s">
        <v>651</v>
      </c>
      <c r="E19" s="140">
        <f>Result!H22</f>
        <v>12.286370954998311</v>
      </c>
      <c r="F19" s="141"/>
      <c r="G19" s="2"/>
      <c r="I19" s="2"/>
      <c r="J19" s="2"/>
      <c r="K19" s="2"/>
      <c r="L19" s="2"/>
      <c r="M19" s="2"/>
      <c r="N19" s="2"/>
      <c r="O19" s="2"/>
      <c r="P19" s="2"/>
      <c r="Q19" s="2"/>
      <c r="R19" s="2"/>
      <c r="S19" s="2"/>
      <c r="T19" s="2"/>
      <c r="U19" s="2"/>
      <c r="V19" s="2"/>
      <c r="W19" s="2"/>
      <c r="X19" s="2"/>
      <c r="Y19" s="2"/>
      <c r="Z19" s="2"/>
      <c r="AA19" s="2"/>
      <c r="AB19" s="2"/>
    </row>
    <row r="20" spans="2:28" x14ac:dyDescent="0.2">
      <c r="B20" s="137"/>
      <c r="C20" s="2" t="s">
        <v>623</v>
      </c>
      <c r="D20" s="2" t="s">
        <v>651</v>
      </c>
      <c r="E20" s="140">
        <f>Result!H23</f>
        <v>29.564080110464687</v>
      </c>
      <c r="F20" s="141"/>
      <c r="G20" s="2"/>
      <c r="I20" s="2"/>
      <c r="J20" s="2"/>
      <c r="K20" s="2"/>
      <c r="L20" s="2"/>
      <c r="M20" s="2"/>
      <c r="N20" s="2"/>
      <c r="O20" s="2"/>
      <c r="P20" s="2"/>
      <c r="Q20" s="2"/>
      <c r="R20" s="2"/>
      <c r="S20" s="2"/>
      <c r="T20" s="2"/>
      <c r="U20" s="2"/>
      <c r="V20" s="2"/>
      <c r="W20" s="2"/>
      <c r="X20" s="2"/>
      <c r="Y20" s="2"/>
      <c r="Z20" s="2"/>
      <c r="AA20" s="2"/>
      <c r="AB20" s="2"/>
    </row>
    <row r="21" spans="2:28" x14ac:dyDescent="0.2">
      <c r="B21" s="137"/>
      <c r="C21" s="2" t="s">
        <v>624</v>
      </c>
      <c r="D21" s="2" t="s">
        <v>651</v>
      </c>
      <c r="E21" s="140">
        <f>Result!H24</f>
        <v>42.234400157806697</v>
      </c>
      <c r="F21" s="141"/>
      <c r="G21" s="2"/>
      <c r="I21" s="2"/>
      <c r="J21" s="2"/>
      <c r="K21" s="2"/>
      <c r="L21" s="2"/>
      <c r="M21" s="2"/>
      <c r="N21" s="2"/>
      <c r="O21" s="2"/>
      <c r="P21" s="2"/>
      <c r="Q21" s="2"/>
      <c r="R21" s="2"/>
      <c r="S21" s="2"/>
      <c r="T21" s="2"/>
      <c r="U21" s="2"/>
      <c r="V21" s="2"/>
      <c r="W21" s="2"/>
      <c r="X21" s="2"/>
      <c r="Y21" s="2"/>
      <c r="Z21" s="2"/>
      <c r="AA21" s="2"/>
      <c r="AB21" s="2"/>
    </row>
    <row r="22" spans="2:28" x14ac:dyDescent="0.2">
      <c r="B22" s="137"/>
      <c r="C22" s="2" t="s">
        <v>625</v>
      </c>
      <c r="D22" s="2" t="s">
        <v>651</v>
      </c>
      <c r="E22" s="140">
        <f>Result!H25</f>
        <v>53.215344198836434</v>
      </c>
      <c r="F22" s="141"/>
      <c r="G22" s="2"/>
      <c r="I22" s="2"/>
      <c r="J22" s="2"/>
      <c r="K22" s="2"/>
      <c r="L22" s="2"/>
      <c r="M22" s="2"/>
      <c r="N22" s="2"/>
      <c r="O22" s="2"/>
      <c r="P22" s="2"/>
      <c r="Q22" s="2"/>
      <c r="R22" s="2"/>
      <c r="S22" s="2"/>
      <c r="T22" s="2"/>
      <c r="U22" s="2"/>
      <c r="V22" s="2"/>
      <c r="W22" s="2"/>
      <c r="X22" s="2"/>
      <c r="Y22" s="2"/>
      <c r="Z22" s="2"/>
      <c r="AA22" s="2"/>
      <c r="AB22" s="2"/>
    </row>
    <row r="23" spans="2:28" x14ac:dyDescent="0.2">
      <c r="B23" s="137"/>
      <c r="C23" s="2" t="s">
        <v>626</v>
      </c>
      <c r="D23" s="2" t="s">
        <v>651</v>
      </c>
      <c r="E23" s="140">
        <f>Result!H26</f>
        <v>51.065229281711737</v>
      </c>
      <c r="F23" s="141"/>
      <c r="G23" s="2"/>
      <c r="I23" s="2"/>
      <c r="J23" s="2"/>
      <c r="K23" s="2"/>
      <c r="L23" s="2"/>
      <c r="M23" s="2"/>
      <c r="N23" s="2"/>
      <c r="O23" s="2"/>
      <c r="P23" s="2"/>
      <c r="Q23" s="2"/>
      <c r="R23" s="2"/>
      <c r="S23" s="2"/>
      <c r="T23" s="2"/>
      <c r="U23" s="2"/>
      <c r="V23" s="2"/>
      <c r="W23" s="2"/>
      <c r="X23" s="2"/>
      <c r="Y23" s="2"/>
      <c r="Z23" s="2"/>
      <c r="AA23" s="2"/>
      <c r="AB23" s="2"/>
    </row>
    <row r="24" spans="2:28" x14ac:dyDescent="0.2">
      <c r="B24" s="137"/>
      <c r="C24" s="2" t="s">
        <v>627</v>
      </c>
      <c r="D24" s="2" t="s">
        <v>651</v>
      </c>
      <c r="E24" s="140">
        <f>Result!H27</f>
        <v>72.950327545302471</v>
      </c>
      <c r="F24" s="141"/>
      <c r="G24" s="2"/>
      <c r="I24" s="2"/>
      <c r="J24" s="2"/>
      <c r="K24" s="2"/>
      <c r="L24" s="2"/>
      <c r="M24" s="2"/>
      <c r="N24" s="2"/>
      <c r="O24" s="2"/>
      <c r="P24" s="2"/>
      <c r="Q24" s="2"/>
      <c r="R24" s="2"/>
      <c r="S24" s="2"/>
      <c r="T24" s="2"/>
      <c r="U24" s="2"/>
      <c r="V24" s="2"/>
      <c r="W24" s="2"/>
      <c r="X24" s="2"/>
      <c r="Y24" s="2"/>
      <c r="Z24" s="2"/>
      <c r="AA24" s="2"/>
      <c r="AB24" s="2"/>
    </row>
    <row r="25" spans="2:28" x14ac:dyDescent="0.2">
      <c r="B25" s="137"/>
      <c r="C25" s="2" t="s">
        <v>628</v>
      </c>
      <c r="D25" s="2" t="s">
        <v>651</v>
      </c>
      <c r="E25" s="140">
        <f>Result!H28</f>
        <v>91.917412707081127</v>
      </c>
      <c r="F25" s="141"/>
      <c r="G25" s="2"/>
      <c r="I25" s="2"/>
      <c r="J25" s="2"/>
      <c r="K25" s="2"/>
      <c r="L25" s="2"/>
      <c r="M25" s="2"/>
      <c r="N25" s="2"/>
      <c r="O25" s="2"/>
      <c r="P25" s="2"/>
      <c r="Q25" s="2"/>
      <c r="R25" s="2"/>
      <c r="S25" s="2"/>
      <c r="T25" s="2"/>
      <c r="U25" s="2"/>
      <c r="V25" s="2"/>
      <c r="W25" s="2"/>
      <c r="X25" s="2"/>
      <c r="Y25" s="2"/>
      <c r="Z25" s="2"/>
      <c r="AA25" s="2"/>
      <c r="AB25" s="2"/>
    </row>
    <row r="26" spans="2:28" x14ac:dyDescent="0.2">
      <c r="B26" s="137"/>
      <c r="C26" s="2" t="s">
        <v>629</v>
      </c>
      <c r="D26" s="2" t="s">
        <v>651</v>
      </c>
      <c r="E26" s="140">
        <f>Result!H29</f>
        <v>116.72052407248395</v>
      </c>
      <c r="F26" s="141"/>
      <c r="G26" s="2"/>
      <c r="I26" s="2"/>
      <c r="J26" s="2"/>
      <c r="K26" s="2"/>
      <c r="L26" s="2"/>
      <c r="M26" s="2"/>
      <c r="N26" s="2"/>
      <c r="O26" s="2"/>
      <c r="P26" s="2"/>
      <c r="Q26" s="2"/>
      <c r="R26" s="2"/>
      <c r="S26" s="2"/>
      <c r="T26" s="2"/>
      <c r="U26" s="2"/>
      <c r="V26" s="2"/>
      <c r="W26" s="2"/>
      <c r="X26" s="2"/>
      <c r="Y26" s="2"/>
      <c r="Z26" s="2"/>
      <c r="AA26" s="2"/>
      <c r="AB26" s="2"/>
    </row>
    <row r="27" spans="2:28" x14ac:dyDescent="0.2">
      <c r="B27" s="137"/>
      <c r="C27" s="2" t="s">
        <v>630</v>
      </c>
      <c r="D27" s="2" t="s">
        <v>651</v>
      </c>
      <c r="E27" s="140">
        <f>Result!H30</f>
        <v>145.90065509060494</v>
      </c>
      <c r="F27" s="141"/>
      <c r="G27" s="2"/>
      <c r="I27" s="2"/>
      <c r="J27" s="2"/>
      <c r="K27" s="2"/>
      <c r="L27" s="2"/>
      <c r="M27" s="2"/>
      <c r="N27" s="2"/>
      <c r="O27" s="2"/>
      <c r="P27" s="2"/>
      <c r="Q27" s="2"/>
      <c r="R27" s="2"/>
      <c r="S27" s="2"/>
      <c r="T27" s="2"/>
      <c r="U27" s="2"/>
      <c r="V27" s="2"/>
      <c r="W27" s="2"/>
      <c r="X27" s="2"/>
      <c r="Y27" s="2"/>
      <c r="Z27" s="2"/>
      <c r="AA27" s="2"/>
      <c r="AB27" s="2"/>
    </row>
    <row r="28" spans="2:28" x14ac:dyDescent="0.2">
      <c r="B28" s="137"/>
      <c r="C28" s="2" t="s">
        <v>631</v>
      </c>
      <c r="D28" s="2" t="s">
        <v>651</v>
      </c>
      <c r="E28" s="140">
        <f>Result!H31</f>
        <v>182.37581886325617</v>
      </c>
      <c r="F28" s="141"/>
      <c r="G28" s="2"/>
      <c r="I28" s="2"/>
      <c r="J28" s="2"/>
      <c r="K28" s="2"/>
      <c r="L28" s="2"/>
      <c r="M28" s="2"/>
      <c r="N28" s="2"/>
      <c r="O28" s="2"/>
      <c r="P28" s="2"/>
      <c r="Q28" s="2"/>
      <c r="R28" s="2"/>
      <c r="S28" s="2"/>
      <c r="T28" s="2"/>
      <c r="U28" s="2"/>
      <c r="V28" s="2"/>
      <c r="W28" s="2"/>
      <c r="X28" s="2"/>
      <c r="Y28" s="2"/>
      <c r="Z28" s="2"/>
      <c r="AA28" s="2"/>
      <c r="AB28" s="2"/>
    </row>
    <row r="29" spans="2:28" x14ac:dyDescent="0.2">
      <c r="B29" s="137"/>
      <c r="C29" s="2" t="s">
        <v>632</v>
      </c>
      <c r="D29" s="2" t="s">
        <v>651</v>
      </c>
      <c r="E29" s="140">
        <f>Result!H32</f>
        <v>233.44104814496791</v>
      </c>
      <c r="F29" s="141"/>
      <c r="G29" s="2"/>
      <c r="I29" s="2"/>
      <c r="J29" s="2"/>
      <c r="K29" s="2"/>
      <c r="L29" s="2"/>
      <c r="M29" s="2"/>
      <c r="N29" s="2"/>
      <c r="O29" s="2"/>
      <c r="P29" s="2"/>
      <c r="Q29" s="2"/>
      <c r="R29" s="2"/>
      <c r="S29" s="2"/>
      <c r="T29" s="2"/>
      <c r="U29" s="2"/>
      <c r="V29" s="2"/>
      <c r="W29" s="2"/>
      <c r="X29" s="2"/>
      <c r="Y29" s="2"/>
      <c r="Z29" s="2"/>
      <c r="AA29" s="2"/>
      <c r="AB29" s="2"/>
    </row>
    <row r="30" spans="2:28" x14ac:dyDescent="0.2">
      <c r="B30" s="137"/>
      <c r="C30" s="2" t="s">
        <v>633</v>
      </c>
      <c r="D30" s="2" t="s">
        <v>651</v>
      </c>
      <c r="E30" s="140">
        <f>Result!H33</f>
        <v>291.80131018120989</v>
      </c>
      <c r="F30" s="141"/>
      <c r="G30" s="2"/>
      <c r="I30" s="2"/>
      <c r="J30" s="2"/>
      <c r="K30" s="2"/>
      <c r="L30" s="2"/>
      <c r="M30" s="2"/>
      <c r="N30" s="2"/>
      <c r="O30" s="2"/>
      <c r="P30" s="2"/>
      <c r="Q30" s="2"/>
      <c r="R30" s="2"/>
      <c r="S30" s="2"/>
      <c r="T30" s="2"/>
      <c r="U30" s="2"/>
      <c r="V30" s="2"/>
      <c r="W30" s="2"/>
      <c r="X30" s="2"/>
      <c r="Y30" s="2"/>
      <c r="Z30" s="2"/>
      <c r="AA30" s="2"/>
      <c r="AB30" s="2"/>
    </row>
    <row r="31" spans="2:28" x14ac:dyDescent="0.2">
      <c r="B31" s="137"/>
      <c r="C31" s="2" t="s">
        <v>634</v>
      </c>
      <c r="D31" s="2" t="s">
        <v>651</v>
      </c>
      <c r="E31" s="140">
        <f>Result!H34</f>
        <v>328.27647395386111</v>
      </c>
      <c r="F31" s="141"/>
      <c r="G31" s="2"/>
      <c r="I31" s="2"/>
      <c r="J31" s="2"/>
      <c r="K31" s="2"/>
      <c r="L31" s="2"/>
      <c r="M31" s="2"/>
      <c r="N31" s="2"/>
      <c r="O31" s="2"/>
      <c r="P31" s="2"/>
      <c r="Q31" s="2"/>
      <c r="R31" s="2"/>
      <c r="S31" s="2"/>
      <c r="T31" s="2"/>
      <c r="U31" s="2"/>
      <c r="V31" s="2"/>
      <c r="W31" s="2"/>
      <c r="X31" s="2"/>
      <c r="Y31" s="2"/>
      <c r="Z31" s="2"/>
      <c r="AA31" s="2"/>
      <c r="AB31" s="2"/>
    </row>
    <row r="32" spans="2:28" x14ac:dyDescent="0.2">
      <c r="B32" s="137"/>
      <c r="C32" s="2" t="s">
        <v>635</v>
      </c>
      <c r="D32" s="2" t="s">
        <v>651</v>
      </c>
      <c r="E32" s="140">
        <f>Result!H35</f>
        <v>364.75163772651234</v>
      </c>
      <c r="F32" s="141"/>
      <c r="G32" s="2"/>
      <c r="I32" s="2"/>
      <c r="J32" s="2"/>
      <c r="K32" s="2"/>
      <c r="L32" s="2"/>
      <c r="M32" s="2"/>
      <c r="N32" s="2"/>
      <c r="O32" s="2"/>
      <c r="P32" s="2"/>
      <c r="Q32" s="2"/>
      <c r="R32" s="2"/>
      <c r="S32" s="2"/>
      <c r="T32" s="2"/>
      <c r="U32" s="2"/>
      <c r="V32" s="2"/>
      <c r="W32" s="2"/>
      <c r="X32" s="2"/>
      <c r="Y32" s="2"/>
      <c r="Z32" s="2"/>
      <c r="AA32" s="2"/>
      <c r="AB32" s="2"/>
    </row>
    <row r="33" spans="2:28" x14ac:dyDescent="0.2">
      <c r="B33" s="137"/>
      <c r="C33" s="2" t="s">
        <v>636</v>
      </c>
      <c r="D33" s="2" t="s">
        <v>651</v>
      </c>
      <c r="E33" s="140">
        <f>Result!H36</f>
        <v>459.5870635354056</v>
      </c>
      <c r="F33" s="141"/>
      <c r="G33" s="2"/>
      <c r="I33" s="2"/>
      <c r="J33" s="2"/>
      <c r="K33" s="2"/>
      <c r="L33" s="2"/>
      <c r="M33" s="2"/>
      <c r="N33" s="2"/>
      <c r="O33" s="2"/>
      <c r="P33" s="2"/>
      <c r="Q33" s="2"/>
      <c r="R33" s="2"/>
      <c r="S33" s="2"/>
      <c r="T33" s="2"/>
      <c r="U33" s="2"/>
      <c r="V33" s="2"/>
      <c r="W33" s="2"/>
      <c r="X33" s="2"/>
      <c r="Y33" s="2"/>
      <c r="Z33" s="2"/>
      <c r="AA33" s="2"/>
      <c r="AB33" s="2"/>
    </row>
    <row r="34" spans="2:28" x14ac:dyDescent="0.2">
      <c r="B34" s="137"/>
      <c r="C34" s="2" t="s">
        <v>637</v>
      </c>
      <c r="D34" s="2" t="s">
        <v>651</v>
      </c>
      <c r="E34" s="140">
        <f>Result!H37</f>
        <v>671.91091160147016</v>
      </c>
      <c r="F34" s="141"/>
      <c r="G34" s="2"/>
      <c r="I34" s="2"/>
      <c r="J34" s="2"/>
      <c r="K34" s="2"/>
      <c r="L34" s="2"/>
      <c r="M34" s="2"/>
      <c r="N34" s="2"/>
      <c r="O34" s="2"/>
      <c r="P34" s="2"/>
      <c r="Q34" s="2"/>
      <c r="R34" s="2"/>
      <c r="S34" s="2"/>
      <c r="T34" s="2"/>
      <c r="U34" s="2"/>
      <c r="V34" s="2"/>
      <c r="W34" s="2"/>
      <c r="X34" s="2"/>
      <c r="Y34" s="2"/>
      <c r="Z34" s="2"/>
      <c r="AA34" s="2"/>
      <c r="AB34" s="2"/>
    </row>
    <row r="35" spans="2:28" x14ac:dyDescent="0.2">
      <c r="B35" s="137"/>
      <c r="C35" s="2" t="s">
        <v>693</v>
      </c>
      <c r="D35" s="2" t="s">
        <v>651</v>
      </c>
      <c r="E35" s="140">
        <f>Result!H38</f>
        <v>767.89818468739441</v>
      </c>
      <c r="F35" s="141"/>
      <c r="G35" s="2"/>
      <c r="I35" s="2"/>
      <c r="J35" s="2"/>
      <c r="K35" s="2"/>
      <c r="L35" s="2"/>
      <c r="M35" s="2"/>
      <c r="N35" s="2"/>
      <c r="O35" s="2"/>
      <c r="P35" s="2"/>
      <c r="Q35" s="2"/>
      <c r="R35" s="2"/>
      <c r="S35" s="2"/>
      <c r="T35" s="2"/>
      <c r="U35" s="2"/>
      <c r="V35" s="2"/>
      <c r="W35" s="2"/>
      <c r="X35" s="2"/>
      <c r="Y35" s="2"/>
      <c r="Z35" s="2"/>
      <c r="AA35" s="2"/>
      <c r="AB35" s="2"/>
    </row>
    <row r="36" spans="2:28" x14ac:dyDescent="0.2">
      <c r="B36" s="137"/>
      <c r="C36" s="2"/>
      <c r="D36" s="2"/>
      <c r="E36" s="2"/>
      <c r="F36" s="141"/>
      <c r="G36" s="2"/>
      <c r="I36" s="2"/>
      <c r="J36" s="2"/>
      <c r="K36" s="2"/>
      <c r="L36" s="2"/>
      <c r="M36" s="2"/>
      <c r="N36" s="2"/>
      <c r="O36" s="2"/>
      <c r="P36" s="2"/>
      <c r="Q36" s="2"/>
      <c r="R36" s="2"/>
      <c r="S36" s="2"/>
      <c r="T36" s="2"/>
      <c r="U36" s="2"/>
      <c r="V36" s="2"/>
      <c r="W36" s="2"/>
      <c r="X36" s="2"/>
      <c r="Y36" s="2"/>
      <c r="Z36" s="2"/>
      <c r="AA36" s="2"/>
      <c r="AB36" s="2"/>
    </row>
    <row r="37" spans="2:28" x14ac:dyDescent="0.2">
      <c r="B37" s="137"/>
      <c r="C37" s="1" t="s">
        <v>638</v>
      </c>
      <c r="D37" s="2"/>
      <c r="E37" s="2"/>
      <c r="F37" s="141"/>
      <c r="G37" s="2"/>
      <c r="I37" s="2"/>
      <c r="J37" s="2"/>
      <c r="K37" s="2"/>
      <c r="L37" s="2"/>
      <c r="M37" s="2"/>
      <c r="N37" s="2"/>
      <c r="O37" s="2"/>
      <c r="P37" s="2"/>
      <c r="Q37" s="2"/>
      <c r="R37" s="2"/>
      <c r="S37" s="2"/>
      <c r="T37" s="2"/>
      <c r="U37" s="2"/>
      <c r="V37" s="2"/>
      <c r="W37" s="2"/>
      <c r="X37" s="2"/>
      <c r="Y37" s="2"/>
      <c r="Z37" s="2"/>
      <c r="AA37" s="2"/>
      <c r="AB37" s="2"/>
    </row>
    <row r="38" spans="2:28" x14ac:dyDescent="0.2">
      <c r="B38" s="137"/>
      <c r="C38" s="2" t="s">
        <v>238</v>
      </c>
      <c r="D38" s="2" t="s">
        <v>205</v>
      </c>
      <c r="E38" s="140">
        <f>Result!H41</f>
        <v>40</v>
      </c>
      <c r="F38" s="141"/>
      <c r="G38" s="2"/>
      <c r="I38" s="2"/>
      <c r="J38" s="2"/>
      <c r="K38" s="2"/>
      <c r="L38" s="2"/>
      <c r="M38" s="2"/>
      <c r="N38" s="2"/>
      <c r="O38" s="2"/>
      <c r="P38" s="2"/>
      <c r="Q38" s="2"/>
      <c r="R38" s="2"/>
      <c r="S38" s="2"/>
      <c r="T38" s="2"/>
      <c r="U38" s="2"/>
      <c r="V38" s="2"/>
      <c r="W38" s="2"/>
      <c r="X38" s="2"/>
      <c r="Y38" s="2"/>
      <c r="Z38" s="2"/>
      <c r="AA38" s="2"/>
      <c r="AB38" s="2"/>
    </row>
    <row r="39" spans="2:28" x14ac:dyDescent="0.2">
      <c r="B39" s="137"/>
      <c r="C39" s="2" t="s">
        <v>240</v>
      </c>
      <c r="D39" s="2" t="s">
        <v>205</v>
      </c>
      <c r="E39" s="140">
        <f>Result!H44</f>
        <v>305.43662127586322</v>
      </c>
      <c r="F39" s="141"/>
      <c r="G39" s="2"/>
      <c r="I39" s="2"/>
      <c r="J39" s="2"/>
      <c r="K39" s="2"/>
      <c r="L39" s="2"/>
      <c r="M39" s="2"/>
      <c r="N39" s="2"/>
      <c r="O39" s="2"/>
      <c r="P39" s="2"/>
      <c r="Q39" s="2"/>
      <c r="R39" s="2"/>
      <c r="S39" s="2"/>
      <c r="T39" s="2"/>
      <c r="U39" s="2"/>
      <c r="V39" s="2"/>
      <c r="W39" s="2"/>
      <c r="X39" s="2"/>
      <c r="Y39" s="2"/>
      <c r="Z39" s="2"/>
      <c r="AA39" s="2"/>
      <c r="AB39" s="2"/>
    </row>
    <row r="40" spans="2:28" x14ac:dyDescent="0.2">
      <c r="B40" s="137"/>
      <c r="C40" s="2"/>
      <c r="D40" s="2"/>
      <c r="E40" s="2"/>
      <c r="F40" s="141"/>
      <c r="G40" s="2"/>
      <c r="I40" s="2"/>
      <c r="J40" s="2"/>
      <c r="K40" s="2"/>
      <c r="L40" s="2"/>
      <c r="M40" s="2"/>
      <c r="N40" s="2"/>
      <c r="O40" s="2"/>
      <c r="P40" s="2"/>
      <c r="Q40" s="2"/>
      <c r="R40" s="2"/>
      <c r="S40" s="2"/>
      <c r="T40" s="2"/>
      <c r="U40" s="2"/>
      <c r="V40" s="2"/>
      <c r="W40" s="2"/>
      <c r="X40" s="2"/>
      <c r="Y40" s="2"/>
      <c r="Z40" s="2"/>
      <c r="AA40" s="2"/>
      <c r="AB40" s="2"/>
    </row>
    <row r="41" spans="2:28" s="2" customFormat="1" x14ac:dyDescent="0.2">
      <c r="B41" s="142"/>
      <c r="C41" s="1" t="s">
        <v>639</v>
      </c>
      <c r="F41" s="141"/>
    </row>
    <row r="42" spans="2:28" x14ac:dyDescent="0.2">
      <c r="B42" s="137"/>
      <c r="C42" s="2" t="s">
        <v>158</v>
      </c>
      <c r="D42" s="2" t="s">
        <v>205</v>
      </c>
      <c r="E42" s="140">
        <f>Result!H45</f>
        <v>189.55349078801981</v>
      </c>
      <c r="F42" s="141"/>
      <c r="G42" s="2"/>
      <c r="I42" s="2"/>
      <c r="J42" s="2"/>
      <c r="K42" s="2"/>
      <c r="L42" s="2"/>
      <c r="M42" s="2"/>
      <c r="N42" s="2"/>
      <c r="O42" s="2"/>
      <c r="P42" s="2"/>
      <c r="Q42" s="2"/>
      <c r="R42" s="2"/>
      <c r="S42" s="2"/>
      <c r="T42" s="2"/>
      <c r="U42" s="2"/>
      <c r="V42" s="2"/>
      <c r="W42" s="2"/>
      <c r="X42" s="2"/>
      <c r="Y42" s="2"/>
      <c r="Z42" s="2"/>
      <c r="AA42" s="2"/>
      <c r="AB42" s="2"/>
    </row>
    <row r="43" spans="2:28" x14ac:dyDescent="0.2">
      <c r="B43" s="137"/>
      <c r="C43" s="2" t="s">
        <v>159</v>
      </c>
      <c r="D43" s="2" t="s">
        <v>205</v>
      </c>
      <c r="E43" s="140">
        <f>Result!H46</f>
        <v>205.78594305755018</v>
      </c>
      <c r="F43" s="141"/>
      <c r="G43" s="2"/>
      <c r="I43" s="2"/>
      <c r="J43" s="2"/>
      <c r="K43" s="2"/>
      <c r="L43" s="2"/>
      <c r="M43" s="2"/>
      <c r="N43" s="2"/>
      <c r="O43" s="2"/>
      <c r="P43" s="2"/>
      <c r="Q43" s="2"/>
      <c r="R43" s="2"/>
      <c r="S43" s="2"/>
      <c r="T43" s="2"/>
      <c r="U43" s="2"/>
      <c r="V43" s="2"/>
      <c r="W43" s="2"/>
      <c r="X43" s="2"/>
      <c r="Y43" s="2"/>
      <c r="Z43" s="2"/>
      <c r="AA43" s="2"/>
      <c r="AB43" s="2"/>
    </row>
    <row r="44" spans="2:28" x14ac:dyDescent="0.2">
      <c r="B44" s="143"/>
      <c r="C44" s="144"/>
      <c r="D44" s="144"/>
      <c r="E44" s="144"/>
      <c r="F44" s="145"/>
      <c r="G44" s="2"/>
      <c r="I44" s="2"/>
      <c r="J44" s="2"/>
      <c r="K44" s="2"/>
      <c r="L44" s="2"/>
      <c r="M44" s="2"/>
      <c r="N44" s="2"/>
      <c r="O44" s="2"/>
      <c r="P44" s="2"/>
      <c r="Q44" s="2"/>
      <c r="R44" s="2"/>
      <c r="S44" s="2"/>
      <c r="T44" s="2"/>
      <c r="U44" s="2"/>
      <c r="V44" s="2"/>
      <c r="W44" s="2"/>
      <c r="X44" s="2"/>
      <c r="Y44" s="2"/>
      <c r="Z44" s="2"/>
      <c r="AA44" s="2"/>
      <c r="AB44" s="2"/>
    </row>
    <row r="45" spans="2:28" x14ac:dyDescent="0.2">
      <c r="C45" s="2"/>
      <c r="D45" s="2"/>
      <c r="E45" s="2"/>
      <c r="F45" s="2"/>
      <c r="G45" s="2"/>
      <c r="I45" s="2"/>
      <c r="J45" s="2"/>
      <c r="K45" s="2"/>
      <c r="L45" s="2"/>
      <c r="M45" s="2"/>
      <c r="N45" s="2"/>
      <c r="O45" s="2"/>
      <c r="P45" s="2"/>
      <c r="Q45" s="2"/>
      <c r="R45" s="2"/>
      <c r="S45" s="2"/>
      <c r="T45" s="2"/>
      <c r="U45" s="2"/>
      <c r="V45" s="2"/>
      <c r="W45" s="2"/>
      <c r="X45" s="2"/>
      <c r="Y45" s="2"/>
      <c r="Z45" s="2"/>
      <c r="AA45" s="2"/>
      <c r="AB45" s="2"/>
    </row>
    <row r="46" spans="2:28" x14ac:dyDescent="0.2">
      <c r="B46" s="132"/>
      <c r="C46" s="146"/>
      <c r="D46" s="146"/>
      <c r="E46" s="146"/>
      <c r="F46" s="146"/>
      <c r="G46" s="147"/>
      <c r="I46" s="2"/>
      <c r="J46" s="2"/>
      <c r="K46" s="2"/>
      <c r="L46" s="2"/>
      <c r="M46" s="2"/>
      <c r="N46" s="2"/>
      <c r="O46" s="2"/>
      <c r="P46" s="2"/>
      <c r="Q46" s="2"/>
      <c r="R46" s="2"/>
      <c r="S46" s="2"/>
      <c r="T46" s="2"/>
      <c r="U46" s="2"/>
      <c r="V46" s="2"/>
      <c r="W46" s="2"/>
      <c r="X46" s="2"/>
      <c r="Y46" s="2"/>
      <c r="Z46" s="2"/>
      <c r="AA46" s="2"/>
      <c r="AB46" s="2"/>
    </row>
    <row r="47" spans="2:28" s="8" customFormat="1" x14ac:dyDescent="0.2">
      <c r="B47" s="135"/>
      <c r="C47" s="8" t="s">
        <v>692</v>
      </c>
      <c r="D47" s="8" t="s">
        <v>36</v>
      </c>
      <c r="G47" s="136"/>
    </row>
    <row r="48" spans="2:28" s="2" customFormat="1" x14ac:dyDescent="0.2">
      <c r="B48" s="142"/>
      <c r="G48" s="141"/>
    </row>
    <row r="49" spans="2:28" x14ac:dyDescent="0.2">
      <c r="B49" s="137"/>
      <c r="C49" s="1" t="s">
        <v>67</v>
      </c>
      <c r="D49" s="2"/>
      <c r="E49" s="2"/>
      <c r="F49" s="2"/>
      <c r="G49" s="141"/>
      <c r="I49" s="2"/>
      <c r="J49" s="2"/>
      <c r="K49" s="2"/>
      <c r="L49" s="2"/>
      <c r="M49" s="2"/>
      <c r="N49" s="2"/>
      <c r="O49" s="2"/>
      <c r="P49" s="2"/>
      <c r="Q49" s="2"/>
      <c r="R49" s="2"/>
      <c r="S49" s="2"/>
      <c r="T49" s="2"/>
      <c r="U49" s="2"/>
      <c r="V49" s="2"/>
      <c r="W49" s="2"/>
      <c r="X49" s="2"/>
      <c r="Y49" s="2"/>
      <c r="Z49" s="2"/>
      <c r="AA49" s="2"/>
      <c r="AB49" s="2"/>
    </row>
    <row r="50" spans="2:28" x14ac:dyDescent="0.2">
      <c r="B50" s="137"/>
      <c r="C50" s="2" t="s">
        <v>677</v>
      </c>
      <c r="D50" s="2" t="s">
        <v>88</v>
      </c>
      <c r="E50" s="148">
        <f>Parameters!H40</f>
        <v>6.4600000000000005E-2</v>
      </c>
      <c r="F50" s="2"/>
      <c r="G50" s="141"/>
      <c r="I50" s="2"/>
      <c r="J50" s="2"/>
      <c r="K50" s="2"/>
      <c r="L50" s="2"/>
      <c r="M50" s="2"/>
      <c r="N50" s="2"/>
      <c r="O50" s="2"/>
      <c r="P50" s="2"/>
      <c r="Q50" s="2"/>
      <c r="R50" s="2"/>
      <c r="S50" s="2"/>
      <c r="T50" s="2"/>
      <c r="U50" s="2"/>
      <c r="V50" s="2"/>
      <c r="W50" s="2"/>
      <c r="X50" s="2"/>
      <c r="Y50" s="2"/>
      <c r="Z50" s="2"/>
      <c r="AA50" s="2"/>
      <c r="AB50" s="2"/>
    </row>
    <row r="51" spans="2:28" x14ac:dyDescent="0.2">
      <c r="B51" s="137"/>
      <c r="C51" s="2" t="s">
        <v>678</v>
      </c>
      <c r="D51" s="2" t="s">
        <v>88</v>
      </c>
      <c r="E51" s="148">
        <f>Parameters!H41</f>
        <v>5.7200000000000001E-2</v>
      </c>
      <c r="F51" s="2"/>
      <c r="G51" s="141"/>
      <c r="I51" s="2"/>
      <c r="J51" s="2"/>
      <c r="K51" s="2"/>
      <c r="L51" s="2"/>
      <c r="M51" s="2"/>
      <c r="N51" s="2"/>
      <c r="O51" s="2"/>
      <c r="P51" s="2"/>
      <c r="Q51" s="2"/>
      <c r="R51" s="2"/>
      <c r="S51" s="2"/>
      <c r="T51" s="2"/>
      <c r="U51" s="2"/>
      <c r="V51" s="2"/>
      <c r="W51" s="2"/>
      <c r="X51" s="2"/>
      <c r="Y51" s="2"/>
      <c r="Z51" s="2"/>
      <c r="AA51" s="2"/>
      <c r="AB51" s="2"/>
    </row>
    <row r="52" spans="2:28" x14ac:dyDescent="0.2">
      <c r="B52" s="137"/>
      <c r="C52" s="2" t="s">
        <v>679</v>
      </c>
      <c r="D52" s="2" t="s">
        <v>88</v>
      </c>
      <c r="E52" s="148">
        <f>Parameters!H42</f>
        <v>6.3799999999999996E-2</v>
      </c>
      <c r="F52" s="2"/>
      <c r="G52" s="141"/>
      <c r="I52" s="2"/>
      <c r="J52" s="2"/>
      <c r="K52" s="2"/>
      <c r="L52" s="2"/>
      <c r="M52" s="2"/>
      <c r="N52" s="2"/>
      <c r="O52" s="2"/>
      <c r="P52" s="2"/>
      <c r="Q52" s="2"/>
      <c r="R52" s="2"/>
      <c r="S52" s="2"/>
      <c r="T52" s="2"/>
      <c r="U52" s="2"/>
      <c r="V52" s="2"/>
      <c r="W52" s="2"/>
      <c r="X52" s="2"/>
      <c r="Y52" s="2"/>
      <c r="Z52" s="2"/>
      <c r="AA52" s="2"/>
      <c r="AB52" s="2"/>
    </row>
    <row r="53" spans="2:28" x14ac:dyDescent="0.2">
      <c r="B53" s="137"/>
      <c r="C53" s="2" t="s">
        <v>87</v>
      </c>
      <c r="D53" s="2" t="s">
        <v>88</v>
      </c>
      <c r="E53" s="148">
        <f>Parameters!H27</f>
        <v>6.4000000000000001E-2</v>
      </c>
      <c r="F53" s="2"/>
      <c r="G53" s="141"/>
      <c r="I53" s="2"/>
      <c r="J53" s="2"/>
      <c r="K53" s="2"/>
      <c r="L53" s="2"/>
      <c r="M53" s="2"/>
      <c r="N53" s="2"/>
      <c r="O53" s="2"/>
      <c r="P53" s="2"/>
      <c r="Q53" s="2"/>
      <c r="R53" s="2"/>
      <c r="S53" s="2"/>
      <c r="T53" s="2"/>
      <c r="U53" s="2"/>
      <c r="V53" s="2"/>
      <c r="W53" s="2"/>
      <c r="X53" s="2"/>
      <c r="Y53" s="2"/>
      <c r="Z53" s="2"/>
      <c r="AA53" s="2"/>
      <c r="AB53" s="2"/>
    </row>
    <row r="54" spans="2:28" x14ac:dyDescent="0.2">
      <c r="B54" s="137"/>
      <c r="C54" s="2" t="s">
        <v>90</v>
      </c>
      <c r="D54" s="2" t="s">
        <v>88</v>
      </c>
      <c r="E54" s="148">
        <f>Parameters!H28</f>
        <v>-1.0999999999999999E-2</v>
      </c>
      <c r="F54" s="2"/>
      <c r="G54" s="141"/>
      <c r="I54" s="2"/>
      <c r="J54" s="2"/>
      <c r="K54" s="2"/>
      <c r="L54" s="2"/>
      <c r="M54" s="2"/>
      <c r="N54" s="2"/>
      <c r="O54" s="2"/>
      <c r="P54" s="2"/>
      <c r="Q54" s="2"/>
      <c r="R54" s="2"/>
      <c r="S54" s="2"/>
      <c r="T54" s="2"/>
      <c r="U54" s="2"/>
      <c r="V54" s="2"/>
      <c r="W54" s="2"/>
      <c r="X54" s="2"/>
      <c r="Y54" s="2"/>
      <c r="Z54" s="2"/>
      <c r="AA54" s="2"/>
      <c r="AB54" s="2"/>
    </row>
    <row r="55" spans="2:28" x14ac:dyDescent="0.2">
      <c r="B55" s="137"/>
      <c r="C55" s="2" t="s">
        <v>640</v>
      </c>
      <c r="D55" s="2" t="s">
        <v>88</v>
      </c>
      <c r="E55" s="148">
        <f>Parameters!H46</f>
        <v>0.5</v>
      </c>
      <c r="F55" s="2"/>
      <c r="G55" s="141"/>
      <c r="I55" s="2"/>
      <c r="J55" s="2"/>
      <c r="K55" s="2"/>
      <c r="L55" s="2"/>
      <c r="M55" s="2"/>
      <c r="N55" s="2"/>
      <c r="O55" s="2"/>
      <c r="P55" s="2"/>
      <c r="Q55" s="2"/>
      <c r="R55" s="2"/>
      <c r="S55" s="2"/>
      <c r="T55" s="2"/>
      <c r="U55" s="2"/>
      <c r="V55" s="2"/>
      <c r="W55" s="2"/>
      <c r="X55" s="2"/>
      <c r="Y55" s="2"/>
      <c r="Z55" s="2"/>
      <c r="AA55" s="2"/>
      <c r="AB55" s="2"/>
    </row>
    <row r="56" spans="2:28" x14ac:dyDescent="0.2">
      <c r="B56" s="137"/>
      <c r="C56" s="2" t="s">
        <v>94</v>
      </c>
      <c r="D56" s="2" t="s">
        <v>88</v>
      </c>
      <c r="E56" s="148">
        <f>Parameters!H32</f>
        <v>0.03</v>
      </c>
      <c r="F56" s="2"/>
      <c r="G56" s="141"/>
      <c r="I56" s="2"/>
      <c r="J56" s="2"/>
      <c r="K56" s="2"/>
      <c r="L56" s="2"/>
      <c r="M56" s="2"/>
      <c r="N56" s="2"/>
      <c r="O56" s="2"/>
      <c r="P56" s="2"/>
      <c r="Q56" s="2"/>
      <c r="R56" s="2"/>
      <c r="S56" s="2"/>
      <c r="T56" s="2"/>
      <c r="U56" s="2"/>
      <c r="V56" s="2"/>
      <c r="W56" s="2"/>
      <c r="X56" s="2"/>
      <c r="Y56" s="2"/>
      <c r="Z56" s="2"/>
      <c r="AA56" s="2"/>
      <c r="AB56" s="2"/>
    </row>
    <row r="57" spans="2:28" ht="12" customHeight="1" x14ac:dyDescent="0.2">
      <c r="B57" s="137"/>
      <c r="D57" s="2"/>
      <c r="G57" s="141"/>
      <c r="I57" s="2"/>
      <c r="J57" s="2"/>
      <c r="K57" s="2"/>
      <c r="L57" s="2"/>
      <c r="M57" s="2"/>
      <c r="N57" s="2"/>
      <c r="O57" s="2"/>
      <c r="P57" s="2"/>
      <c r="Q57" s="2"/>
      <c r="R57" s="2"/>
      <c r="S57" s="2"/>
      <c r="T57" s="2"/>
      <c r="U57" s="2"/>
      <c r="V57" s="2"/>
      <c r="W57" s="2"/>
      <c r="X57" s="2"/>
      <c r="Y57" s="2"/>
      <c r="Z57" s="2"/>
      <c r="AA57" s="2"/>
      <c r="AB57" s="2"/>
    </row>
    <row r="58" spans="2:28" ht="25.5" x14ac:dyDescent="0.2">
      <c r="B58" s="137"/>
      <c r="C58" s="1" t="s">
        <v>669</v>
      </c>
      <c r="D58" s="149"/>
      <c r="E58" s="150" t="s">
        <v>257</v>
      </c>
      <c r="F58" s="150" t="s">
        <v>73</v>
      </c>
      <c r="G58" s="141"/>
      <c r="I58" s="2"/>
      <c r="J58" s="2"/>
      <c r="K58" s="2"/>
      <c r="L58" s="2"/>
      <c r="M58" s="2"/>
      <c r="N58" s="2"/>
      <c r="O58" s="2"/>
      <c r="P58" s="2"/>
      <c r="Q58" s="2"/>
      <c r="R58" s="2"/>
      <c r="S58" s="2"/>
      <c r="T58" s="2"/>
      <c r="U58" s="2"/>
      <c r="V58" s="2"/>
      <c r="W58" s="2"/>
      <c r="X58" s="2"/>
      <c r="Y58" s="2"/>
      <c r="Z58" s="2"/>
      <c r="AA58" s="2"/>
      <c r="AB58" s="2"/>
    </row>
    <row r="59" spans="2:28" x14ac:dyDescent="0.2">
      <c r="B59" s="137"/>
      <c r="C59" s="2" t="s">
        <v>442</v>
      </c>
      <c r="D59" s="2" t="s">
        <v>108</v>
      </c>
      <c r="E59" s="151">
        <f>'Historical data'!L14</f>
        <v>2007361.6478045504</v>
      </c>
      <c r="F59" s="151">
        <f>'Historical data'!M14</f>
        <v>1040667.8730083217</v>
      </c>
      <c r="G59" s="141"/>
      <c r="I59" s="2"/>
      <c r="J59" s="2"/>
      <c r="K59" s="2"/>
      <c r="L59" s="2"/>
      <c r="M59" s="2"/>
      <c r="N59" s="2"/>
      <c r="O59" s="2"/>
      <c r="P59" s="2"/>
      <c r="Q59" s="2"/>
      <c r="R59" s="2"/>
      <c r="S59" s="2"/>
      <c r="T59" s="2"/>
      <c r="U59" s="2"/>
      <c r="V59" s="2"/>
      <c r="W59" s="2"/>
      <c r="X59" s="2"/>
      <c r="Y59" s="2"/>
      <c r="Z59" s="2"/>
      <c r="AA59" s="2"/>
      <c r="AB59" s="2"/>
    </row>
    <row r="60" spans="2:28" x14ac:dyDescent="0.2">
      <c r="B60" s="137"/>
      <c r="C60" s="2" t="s">
        <v>110</v>
      </c>
      <c r="D60" s="2" t="s">
        <v>108</v>
      </c>
      <c r="E60" s="151">
        <f>'Historical data'!L15</f>
        <v>2926.1146092557124</v>
      </c>
      <c r="F60" s="151">
        <f>'Historical data'!M15</f>
        <v>439515.27092647104</v>
      </c>
      <c r="G60" s="141"/>
      <c r="I60" s="2"/>
      <c r="J60" s="2"/>
      <c r="K60" s="2"/>
      <c r="L60" s="2"/>
      <c r="M60" s="2"/>
      <c r="N60" s="2"/>
      <c r="O60" s="2"/>
      <c r="P60" s="2"/>
      <c r="Q60" s="2"/>
      <c r="R60" s="2"/>
      <c r="S60" s="2"/>
      <c r="T60" s="2"/>
      <c r="U60" s="2"/>
      <c r="V60" s="2"/>
      <c r="W60" s="2"/>
      <c r="X60" s="2"/>
      <c r="Y60" s="2"/>
      <c r="Z60" s="2"/>
      <c r="AA60" s="2"/>
      <c r="AB60" s="2"/>
    </row>
    <row r="61" spans="2:28" x14ac:dyDescent="0.2">
      <c r="B61" s="137"/>
      <c r="C61" s="2" t="s">
        <v>670</v>
      </c>
      <c r="D61" s="2" t="s">
        <v>114</v>
      </c>
      <c r="E61" s="151">
        <f>'Historical data'!L21</f>
        <v>2807790.6419269913</v>
      </c>
      <c r="F61" s="151">
        <f>'Historical data'!M21</f>
        <v>2099727.8190321838</v>
      </c>
      <c r="G61" s="141"/>
      <c r="I61" s="2"/>
      <c r="J61" s="2"/>
      <c r="K61" s="2"/>
      <c r="L61" s="2"/>
      <c r="M61" s="2"/>
      <c r="N61" s="2"/>
      <c r="O61" s="2"/>
      <c r="P61" s="2"/>
      <c r="Q61" s="2"/>
      <c r="R61" s="2"/>
      <c r="S61" s="2"/>
      <c r="T61" s="2"/>
      <c r="U61" s="2"/>
      <c r="V61" s="2"/>
      <c r="W61" s="2"/>
      <c r="X61" s="2"/>
      <c r="Y61" s="2"/>
      <c r="Z61" s="2"/>
      <c r="AA61" s="2"/>
      <c r="AB61" s="2"/>
    </row>
    <row r="62" spans="2:28" x14ac:dyDescent="0.2">
      <c r="B62" s="137"/>
      <c r="C62" s="2" t="s">
        <v>671</v>
      </c>
      <c r="D62" s="2" t="s">
        <v>114</v>
      </c>
      <c r="E62" s="151">
        <f>'Historical data'!L22</f>
        <v>369335.68785139988</v>
      </c>
      <c r="F62" s="151">
        <f>'Historical data'!M22</f>
        <v>198076.97728293162</v>
      </c>
      <c r="G62" s="141"/>
      <c r="I62" s="2"/>
      <c r="J62" s="2"/>
      <c r="K62" s="2"/>
      <c r="L62" s="2"/>
      <c r="M62" s="2"/>
      <c r="N62" s="2"/>
      <c r="O62" s="2"/>
      <c r="P62" s="2"/>
      <c r="Q62" s="2"/>
      <c r="R62" s="2"/>
      <c r="S62" s="2"/>
      <c r="T62" s="2"/>
      <c r="U62" s="2"/>
      <c r="V62" s="2"/>
      <c r="W62" s="2"/>
      <c r="X62" s="2"/>
      <c r="Y62" s="2"/>
      <c r="Z62" s="2"/>
      <c r="AA62" s="2"/>
      <c r="AB62" s="2"/>
    </row>
    <row r="63" spans="2:28" x14ac:dyDescent="0.2">
      <c r="B63" s="137"/>
      <c r="C63" s="2"/>
      <c r="D63" s="2"/>
      <c r="E63" s="2"/>
      <c r="F63" s="2"/>
      <c r="G63" s="141"/>
      <c r="I63" s="2"/>
      <c r="J63" s="2"/>
      <c r="K63" s="2"/>
      <c r="L63" s="2"/>
      <c r="M63" s="2"/>
      <c r="N63" s="2"/>
      <c r="O63" s="2"/>
      <c r="P63" s="2"/>
      <c r="Q63" s="2"/>
      <c r="R63" s="2"/>
      <c r="S63" s="2"/>
      <c r="T63" s="2"/>
      <c r="U63" s="2"/>
      <c r="V63" s="2"/>
      <c r="W63" s="2"/>
      <c r="X63" s="2"/>
      <c r="Y63" s="2"/>
      <c r="Z63" s="2"/>
      <c r="AA63" s="2"/>
      <c r="AB63" s="2"/>
    </row>
    <row r="64" spans="2:28" x14ac:dyDescent="0.2">
      <c r="B64" s="137"/>
      <c r="C64" s="1" t="s">
        <v>661</v>
      </c>
      <c r="D64" s="2"/>
      <c r="E64" s="2"/>
      <c r="F64" s="2"/>
      <c r="G64" s="141"/>
      <c r="I64" s="2"/>
      <c r="J64" s="2"/>
      <c r="K64" s="2"/>
      <c r="L64" s="2"/>
      <c r="M64" s="2"/>
      <c r="N64" s="2"/>
      <c r="O64" s="2"/>
      <c r="P64" s="2"/>
      <c r="Q64" s="2"/>
      <c r="R64" s="2"/>
      <c r="S64" s="2"/>
      <c r="T64" s="2"/>
      <c r="U64" s="2"/>
      <c r="V64" s="2"/>
      <c r="W64" s="2"/>
      <c r="X64" s="2"/>
      <c r="Y64" s="2"/>
      <c r="Z64" s="2"/>
      <c r="AA64" s="2"/>
      <c r="AB64" s="2"/>
    </row>
    <row r="65" spans="2:28" x14ac:dyDescent="0.2">
      <c r="B65" s="137"/>
      <c r="C65" s="67" t="s">
        <v>729</v>
      </c>
      <c r="D65" s="2" t="s">
        <v>114</v>
      </c>
      <c r="E65" s="151">
        <f>'Major occurrences'!L52</f>
        <v>147382.57311481124</v>
      </c>
      <c r="F65" s="2"/>
      <c r="G65" s="141"/>
      <c r="I65" s="2"/>
      <c r="J65" s="2"/>
      <c r="K65" s="2"/>
      <c r="L65" s="2"/>
      <c r="M65" s="2"/>
      <c r="N65" s="2"/>
      <c r="O65" s="2"/>
      <c r="P65" s="2"/>
      <c r="Q65" s="2"/>
      <c r="R65" s="2"/>
      <c r="S65" s="2"/>
      <c r="T65" s="2"/>
      <c r="U65" s="2"/>
      <c r="V65" s="2"/>
      <c r="W65" s="2"/>
      <c r="X65" s="2"/>
      <c r="Y65" s="2"/>
      <c r="Z65" s="2"/>
      <c r="AA65" s="2"/>
      <c r="AB65" s="2"/>
    </row>
    <row r="66" spans="2:28" x14ac:dyDescent="0.2">
      <c r="B66" s="137"/>
      <c r="C66" s="2"/>
      <c r="D66" s="2"/>
      <c r="E66" s="2"/>
      <c r="F66" s="2"/>
      <c r="G66" s="141"/>
      <c r="I66" s="2"/>
      <c r="J66" s="2"/>
      <c r="K66" s="2"/>
      <c r="L66" s="2"/>
      <c r="M66" s="2"/>
      <c r="N66" s="2"/>
      <c r="O66" s="2"/>
      <c r="P66" s="2"/>
      <c r="Q66" s="2"/>
      <c r="R66" s="2"/>
      <c r="S66" s="2"/>
      <c r="T66" s="2"/>
      <c r="U66" s="2"/>
      <c r="V66" s="2"/>
      <c r="W66" s="2"/>
      <c r="X66" s="2"/>
      <c r="Y66" s="2"/>
      <c r="Z66" s="2"/>
      <c r="AA66" s="2"/>
      <c r="AB66" s="2"/>
    </row>
    <row r="67" spans="2:28" x14ac:dyDescent="0.2">
      <c r="B67" s="137"/>
      <c r="C67" s="1" t="s">
        <v>204</v>
      </c>
      <c r="D67" s="2"/>
      <c r="G67" s="138"/>
      <c r="K67" s="152"/>
    </row>
    <row r="68" spans="2:28" x14ac:dyDescent="0.2">
      <c r="B68" s="137"/>
      <c r="C68" s="2" t="s">
        <v>672</v>
      </c>
      <c r="D68" s="2" t="s">
        <v>205</v>
      </c>
      <c r="E68" s="151">
        <f>'Overview corrections'!L37</f>
        <v>185471.93721429058</v>
      </c>
      <c r="F68" s="151">
        <f>'Overview corrections'!M37</f>
        <v>6365.3392248225482</v>
      </c>
      <c r="G68" s="138"/>
    </row>
    <row r="69" spans="2:28" x14ac:dyDescent="0.2">
      <c r="B69" s="137"/>
      <c r="C69" s="2" t="s">
        <v>673</v>
      </c>
      <c r="D69" s="2" t="s">
        <v>205</v>
      </c>
      <c r="E69" s="151">
        <f>'Overview corrections'!L38</f>
        <v>110859.13597080897</v>
      </c>
      <c r="F69" s="151">
        <f>'Overview corrections'!M38</f>
        <v>-164161.80578310363</v>
      </c>
      <c r="G69" s="138"/>
    </row>
    <row r="70" spans="2:28" x14ac:dyDescent="0.2">
      <c r="B70" s="137"/>
      <c r="C70" s="2" t="s">
        <v>206</v>
      </c>
      <c r="D70" s="2" t="s">
        <v>205</v>
      </c>
      <c r="F70" s="151">
        <f>'Overview corrections'!M44</f>
        <v>-118397.51612508438</v>
      </c>
      <c r="G70" s="138"/>
    </row>
    <row r="71" spans="2:28" x14ac:dyDescent="0.2">
      <c r="B71" s="137"/>
      <c r="C71" s="2" t="s">
        <v>561</v>
      </c>
      <c r="D71" s="2" t="s">
        <v>205</v>
      </c>
      <c r="E71" s="151">
        <f>'Overview corrections'!L35</f>
        <v>430068.55439853587</v>
      </c>
      <c r="G71" s="138"/>
    </row>
    <row r="72" spans="2:28" x14ac:dyDescent="0.2">
      <c r="B72" s="137"/>
      <c r="C72" s="2" t="s">
        <v>292</v>
      </c>
      <c r="D72" s="2" t="s">
        <v>205</v>
      </c>
      <c r="F72" s="151">
        <f>'Overview corrections'!M43</f>
        <v>-217598.35858108188</v>
      </c>
      <c r="G72" s="138"/>
    </row>
    <row r="73" spans="2:28" x14ac:dyDescent="0.2">
      <c r="B73" s="137"/>
      <c r="C73" s="119" t="s">
        <v>533</v>
      </c>
      <c r="D73" s="2" t="s">
        <v>205</v>
      </c>
      <c r="E73" s="151">
        <f>'Overview corrections'!L40</f>
        <v>349266.70783299999</v>
      </c>
      <c r="G73" s="138"/>
    </row>
    <row r="74" spans="2:28" x14ac:dyDescent="0.2">
      <c r="B74" s="137"/>
      <c r="C74" s="1"/>
      <c r="D74" s="2"/>
      <c r="E74" s="2"/>
      <c r="F74" s="2"/>
      <c r="G74" s="141"/>
    </row>
    <row r="75" spans="2:28" x14ac:dyDescent="0.2">
      <c r="B75" s="137"/>
      <c r="C75" s="1" t="s">
        <v>683</v>
      </c>
      <c r="D75" s="2"/>
      <c r="E75" s="2"/>
      <c r="F75" s="2"/>
      <c r="G75" s="141"/>
      <c r="I75" s="2"/>
      <c r="J75" s="2"/>
    </row>
    <row r="76" spans="2:28" x14ac:dyDescent="0.2">
      <c r="B76" s="137"/>
      <c r="C76" s="67" t="s">
        <v>684</v>
      </c>
      <c r="D76" s="2" t="s">
        <v>205</v>
      </c>
      <c r="E76" s="151">
        <f>'Calculation cost base 2024'!L76</f>
        <v>2830364.3503505941</v>
      </c>
      <c r="F76" s="151">
        <f>'Calculation cost base 2024'!M76</f>
        <v>966516.46614236105</v>
      </c>
      <c r="G76" s="138"/>
    </row>
    <row r="77" spans="2:28" x14ac:dyDescent="0.2">
      <c r="B77" s="137"/>
      <c r="C77" s="67" t="s">
        <v>641</v>
      </c>
      <c r="D77" s="2" t="s">
        <v>288</v>
      </c>
      <c r="E77" s="153">
        <f>'Calculation cost base 2024'!L71</f>
        <v>2.6161065362456073E-2</v>
      </c>
      <c r="F77" s="153">
        <f>'Calculation cost base 2024'!M71</f>
        <v>25.310497736553295</v>
      </c>
      <c r="G77" s="138"/>
      <c r="J77" s="2"/>
    </row>
    <row r="78" spans="2:28" x14ac:dyDescent="0.2">
      <c r="B78" s="137"/>
      <c r="C78" s="67" t="s">
        <v>685</v>
      </c>
      <c r="D78" s="2" t="s">
        <v>205</v>
      </c>
      <c r="E78" s="151">
        <f>'Electricity Production'!L29</f>
        <v>4025304.4163769903</v>
      </c>
      <c r="F78" s="151">
        <f>'Electricity Distribution'!M72</f>
        <v>868070.68412293587</v>
      </c>
      <c r="G78" s="138"/>
    </row>
    <row r="79" spans="2:28" x14ac:dyDescent="0.2">
      <c r="B79" s="137"/>
      <c r="G79" s="138"/>
    </row>
    <row r="80" spans="2:28" x14ac:dyDescent="0.2">
      <c r="B80" s="137"/>
      <c r="C80" s="154" t="s">
        <v>689</v>
      </c>
      <c r="G80" s="138"/>
    </row>
    <row r="81" spans="2:7" x14ac:dyDescent="0.2">
      <c r="B81" s="137"/>
      <c r="C81" s="2" t="s">
        <v>642</v>
      </c>
      <c r="D81" s="2" t="s">
        <v>125</v>
      </c>
      <c r="E81" s="151">
        <f>'Estimates for 2024'!L22</f>
        <v>16551729.997999959</v>
      </c>
      <c r="G81" s="138"/>
    </row>
    <row r="82" spans="2:7" x14ac:dyDescent="0.2">
      <c r="B82" s="137"/>
      <c r="C82" s="2" t="s">
        <v>643</v>
      </c>
      <c r="D82" s="2" t="s">
        <v>125</v>
      </c>
      <c r="E82" s="151">
        <f>'Estimates for 2024'!L20</f>
        <v>7999999.9999999702</v>
      </c>
      <c r="G82" s="138"/>
    </row>
    <row r="83" spans="2:7" x14ac:dyDescent="0.2">
      <c r="B83" s="137"/>
      <c r="C83" s="2" t="s">
        <v>644</v>
      </c>
      <c r="D83" s="2" t="s">
        <v>125</v>
      </c>
      <c r="E83" s="151">
        <f>'Estimates for 2024'!L21</f>
        <v>8551729.9979999885</v>
      </c>
      <c r="G83" s="138"/>
    </row>
    <row r="84" spans="2:7" x14ac:dyDescent="0.2">
      <c r="B84" s="137"/>
      <c r="C84" s="2" t="s">
        <v>645</v>
      </c>
      <c r="D84" s="2" t="s">
        <v>646</v>
      </c>
      <c r="E84" s="153">
        <f>'Estimates for 2024'!L35</f>
        <v>0.27626522408947457</v>
      </c>
      <c r="G84" s="138"/>
    </row>
    <row r="85" spans="2:7" x14ac:dyDescent="0.2">
      <c r="B85" s="137"/>
      <c r="C85" s="2" t="s">
        <v>647</v>
      </c>
      <c r="D85" s="2" t="s">
        <v>144</v>
      </c>
      <c r="E85" s="155">
        <f>'Historical data'!H31</f>
        <v>0.98250869816863085</v>
      </c>
      <c r="G85" s="138"/>
    </row>
    <row r="86" spans="2:7" x14ac:dyDescent="0.2">
      <c r="B86" s="137"/>
      <c r="C86" s="2"/>
      <c r="D86" s="2"/>
      <c r="E86" s="156"/>
      <c r="G86" s="138"/>
    </row>
    <row r="87" spans="2:7" x14ac:dyDescent="0.2">
      <c r="B87" s="137"/>
      <c r="C87" s="2" t="s">
        <v>690</v>
      </c>
      <c r="D87" s="2" t="s">
        <v>88</v>
      </c>
      <c r="F87" s="157">
        <f>'Estimates for 2024'!M17</f>
        <v>0.12</v>
      </c>
      <c r="G87" s="138"/>
    </row>
    <row r="88" spans="2:7" x14ac:dyDescent="0.2">
      <c r="B88" s="137"/>
      <c r="C88" s="2" t="s">
        <v>691</v>
      </c>
      <c r="D88" s="2" t="s">
        <v>126</v>
      </c>
      <c r="F88" s="151">
        <f>'Estimates for 2024'!M65</f>
        <v>18840.837267081202</v>
      </c>
      <c r="G88" s="138"/>
    </row>
    <row r="89" spans="2:7" x14ac:dyDescent="0.2">
      <c r="B89" s="137"/>
      <c r="G89" s="138"/>
    </row>
    <row r="90" spans="2:7" x14ac:dyDescent="0.2">
      <c r="B90" s="137"/>
      <c r="G90" s="138"/>
    </row>
    <row r="91" spans="2:7" x14ac:dyDescent="0.2">
      <c r="B91" s="137"/>
      <c r="C91" s="67" t="s">
        <v>648</v>
      </c>
      <c r="G91" s="138"/>
    </row>
    <row r="92" spans="2:7" x14ac:dyDescent="0.2">
      <c r="B92" s="137"/>
      <c r="G92" s="138"/>
    </row>
    <row r="93" spans="2:7" x14ac:dyDescent="0.2">
      <c r="B93" s="143"/>
      <c r="C93" s="158"/>
      <c r="D93" s="158"/>
      <c r="E93" s="158"/>
      <c r="F93" s="158"/>
      <c r="G93" s="159"/>
    </row>
  </sheetData>
  <phoneticPr fontId="31" type="noConversion"/>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C468C9-1105-4652-A659-6B0449E3C922}">
  <sheetPr>
    <tabColor rgb="FFCCFFFF"/>
  </sheetPr>
  <dimension ref="B2:AB75"/>
  <sheetViews>
    <sheetView showGridLines="0" zoomScale="85" zoomScaleNormal="85" workbookViewId="0"/>
  </sheetViews>
  <sheetFormatPr defaultRowHeight="12.75" x14ac:dyDescent="0.2"/>
  <cols>
    <col min="1" max="1" width="9.140625" style="67"/>
    <col min="2" max="2" width="4.85546875" style="67" customWidth="1"/>
    <col min="3" max="3" width="59.140625" style="67" customWidth="1"/>
    <col min="4" max="4" width="20.140625" style="67" customWidth="1"/>
    <col min="5" max="7" width="14.42578125" style="67" customWidth="1"/>
    <col min="8" max="8" width="5" style="67" customWidth="1"/>
    <col min="9" max="16384" width="9.140625" style="67"/>
  </cols>
  <sheetData>
    <row r="2" spans="2:8" s="7" customFormat="1" ht="18" x14ac:dyDescent="0.2">
      <c r="C2" s="7" t="s">
        <v>652</v>
      </c>
    </row>
    <row r="3" spans="2:8" x14ac:dyDescent="0.2">
      <c r="B3" s="2"/>
      <c r="C3" s="2"/>
      <c r="D3" s="2"/>
      <c r="E3" s="2"/>
      <c r="F3" s="2"/>
      <c r="G3" s="2"/>
    </row>
    <row r="4" spans="2:8" x14ac:dyDescent="0.2">
      <c r="C4" s="19" t="s">
        <v>103</v>
      </c>
      <c r="D4" s="2"/>
      <c r="E4" s="2"/>
      <c r="F4" s="2"/>
      <c r="G4" s="2"/>
      <c r="H4" s="2"/>
    </row>
    <row r="5" spans="2:8" x14ac:dyDescent="0.2">
      <c r="C5" s="2" t="s">
        <v>649</v>
      </c>
      <c r="D5" s="2"/>
      <c r="E5" s="13"/>
      <c r="F5" s="2"/>
      <c r="G5" s="2"/>
      <c r="H5" s="2"/>
    </row>
    <row r="6" spans="2:8" x14ac:dyDescent="0.2">
      <c r="B6" s="2"/>
      <c r="C6" s="2"/>
      <c r="D6" s="2"/>
      <c r="E6" s="2"/>
      <c r="F6" s="2"/>
      <c r="G6" s="2"/>
      <c r="H6" s="2"/>
    </row>
    <row r="7" spans="2:8" s="8" customFormat="1" x14ac:dyDescent="0.2">
      <c r="C7" s="8" t="s">
        <v>616</v>
      </c>
      <c r="D7" s="8" t="s">
        <v>36</v>
      </c>
    </row>
    <row r="9" spans="2:8" x14ac:dyDescent="0.2">
      <c r="C9" s="1" t="s">
        <v>653</v>
      </c>
      <c r="D9" s="67" t="s">
        <v>667</v>
      </c>
      <c r="E9" s="131">
        <f>Result!H51</f>
        <v>5.5023984424735932</v>
      </c>
    </row>
    <row r="10" spans="2:8" x14ac:dyDescent="0.2">
      <c r="C10" s="1"/>
    </row>
    <row r="11" spans="2:8" x14ac:dyDescent="0.2">
      <c r="B11" s="132"/>
      <c r="C11" s="133"/>
      <c r="D11" s="133"/>
      <c r="E11" s="133"/>
      <c r="F11" s="134"/>
    </row>
    <row r="12" spans="2:8" s="8" customFormat="1" x14ac:dyDescent="0.2">
      <c r="B12" s="135"/>
      <c r="C12" s="8" t="s">
        <v>675</v>
      </c>
      <c r="D12" s="8" t="s">
        <v>36</v>
      </c>
      <c r="F12" s="136"/>
    </row>
    <row r="13" spans="2:8" x14ac:dyDescent="0.2">
      <c r="B13" s="137"/>
      <c r="F13" s="138"/>
    </row>
    <row r="14" spans="2:8" x14ac:dyDescent="0.2">
      <c r="B14" s="137"/>
      <c r="C14" s="1" t="s">
        <v>654</v>
      </c>
      <c r="D14" s="67" t="s">
        <v>667</v>
      </c>
      <c r="E14" s="131">
        <f>Result!H54</f>
        <v>8.2902016236452258</v>
      </c>
      <c r="F14" s="138"/>
    </row>
    <row r="15" spans="2:8" x14ac:dyDescent="0.2">
      <c r="B15" s="137"/>
      <c r="F15" s="138"/>
    </row>
    <row r="16" spans="2:8" x14ac:dyDescent="0.2">
      <c r="B16" s="137"/>
      <c r="C16" s="1" t="s">
        <v>655</v>
      </c>
      <c r="D16" s="67" t="s">
        <v>668</v>
      </c>
      <c r="E16" s="139">
        <f>Result!H57</f>
        <v>95.389770046420324</v>
      </c>
      <c r="F16" s="138"/>
    </row>
    <row r="17" spans="2:10" x14ac:dyDescent="0.2">
      <c r="B17" s="137"/>
      <c r="C17" s="2"/>
      <c r="D17" s="2"/>
      <c r="E17" s="2"/>
      <c r="F17" s="141"/>
      <c r="G17" s="2"/>
      <c r="H17" s="2"/>
      <c r="I17" s="2"/>
      <c r="J17" s="2"/>
    </row>
    <row r="18" spans="2:10" x14ac:dyDescent="0.2">
      <c r="B18" s="137"/>
      <c r="C18" s="1" t="s">
        <v>656</v>
      </c>
      <c r="D18" s="2"/>
      <c r="E18" s="2"/>
      <c r="F18" s="141"/>
      <c r="G18" s="2"/>
      <c r="H18" s="2"/>
      <c r="I18" s="2"/>
      <c r="J18" s="2"/>
    </row>
    <row r="19" spans="2:10" x14ac:dyDescent="0.2">
      <c r="B19" s="137"/>
      <c r="C19" s="2" t="s">
        <v>238</v>
      </c>
      <c r="D19" s="2" t="s">
        <v>205</v>
      </c>
      <c r="E19" s="140">
        <f>Result!H60</f>
        <v>40</v>
      </c>
      <c r="F19" s="141"/>
      <c r="G19" s="2"/>
      <c r="H19" s="2"/>
      <c r="I19" s="2"/>
      <c r="J19" s="2"/>
    </row>
    <row r="20" spans="2:10" x14ac:dyDescent="0.2">
      <c r="B20" s="137"/>
      <c r="C20" s="2" t="s">
        <v>251</v>
      </c>
      <c r="D20" s="2" t="s">
        <v>205</v>
      </c>
      <c r="E20" s="140">
        <f>Result!H63</f>
        <v>272.94023816097268</v>
      </c>
      <c r="F20" s="141"/>
      <c r="G20" s="2"/>
      <c r="H20" s="2"/>
      <c r="I20" s="2"/>
      <c r="J20" s="2"/>
    </row>
    <row r="21" spans="2:10" x14ac:dyDescent="0.2">
      <c r="B21" s="137"/>
      <c r="C21" s="2" t="s">
        <v>252</v>
      </c>
      <c r="D21" s="2" t="s">
        <v>205</v>
      </c>
      <c r="E21" s="140">
        <f>Result!H64</f>
        <v>189.55349078801981</v>
      </c>
      <c r="F21" s="141"/>
      <c r="G21" s="2"/>
      <c r="H21" s="2"/>
      <c r="I21" s="2"/>
      <c r="J21" s="2"/>
    </row>
    <row r="22" spans="2:10" x14ac:dyDescent="0.2">
      <c r="B22" s="142"/>
      <c r="C22" s="2"/>
      <c r="D22" s="2"/>
      <c r="E22" s="2"/>
      <c r="F22" s="141"/>
      <c r="G22" s="2"/>
      <c r="H22" s="2"/>
      <c r="I22" s="2"/>
      <c r="J22" s="2"/>
    </row>
    <row r="23" spans="2:10" x14ac:dyDescent="0.2">
      <c r="B23" s="137"/>
      <c r="C23" s="1" t="s">
        <v>253</v>
      </c>
      <c r="D23" s="2"/>
      <c r="E23" s="2"/>
      <c r="F23" s="141"/>
      <c r="G23" s="2"/>
      <c r="H23" s="2"/>
      <c r="I23" s="2"/>
      <c r="J23" s="2"/>
    </row>
    <row r="24" spans="2:10" x14ac:dyDescent="0.2">
      <c r="B24" s="137"/>
      <c r="C24" s="2" t="s">
        <v>657</v>
      </c>
      <c r="D24" s="67" t="s">
        <v>667</v>
      </c>
      <c r="E24" s="160">
        <f>Result!H67</f>
        <v>9.8362478495661279</v>
      </c>
      <c r="F24" s="141"/>
      <c r="G24" s="2"/>
      <c r="H24" s="2"/>
      <c r="I24" s="2"/>
      <c r="J24" s="2"/>
    </row>
    <row r="25" spans="2:10" x14ac:dyDescent="0.2">
      <c r="B25" s="143"/>
      <c r="C25" s="144"/>
      <c r="D25" s="144"/>
      <c r="E25" s="144"/>
      <c r="F25" s="145"/>
      <c r="G25" s="2"/>
      <c r="H25" s="2"/>
      <c r="I25" s="2"/>
      <c r="J25" s="2"/>
    </row>
    <row r="26" spans="2:10" x14ac:dyDescent="0.2">
      <c r="C26" s="2"/>
      <c r="D26" s="2"/>
      <c r="E26" s="2"/>
      <c r="F26" s="2"/>
      <c r="G26" s="2"/>
      <c r="H26" s="2"/>
      <c r="I26" s="2"/>
      <c r="J26" s="2"/>
    </row>
    <row r="27" spans="2:10" x14ac:dyDescent="0.2">
      <c r="B27" s="132"/>
      <c r="C27" s="146"/>
      <c r="D27" s="146"/>
      <c r="E27" s="146"/>
      <c r="F27" s="146"/>
      <c r="G27" s="146"/>
      <c r="H27" s="147"/>
      <c r="I27" s="2"/>
      <c r="J27" s="2"/>
    </row>
    <row r="28" spans="2:10" s="8" customFormat="1" x14ac:dyDescent="0.2">
      <c r="B28" s="135"/>
      <c r="C28" s="8" t="s">
        <v>676</v>
      </c>
      <c r="D28" s="8" t="s">
        <v>36</v>
      </c>
      <c r="H28" s="136"/>
    </row>
    <row r="29" spans="2:10" x14ac:dyDescent="0.2">
      <c r="B29" s="142"/>
      <c r="C29" s="2"/>
      <c r="D29" s="2"/>
      <c r="E29" s="2"/>
      <c r="F29" s="2"/>
      <c r="G29" s="2"/>
      <c r="H29" s="141"/>
      <c r="I29" s="2"/>
      <c r="J29" s="2"/>
    </row>
    <row r="30" spans="2:10" x14ac:dyDescent="0.2">
      <c r="B30" s="137"/>
      <c r="C30" s="1" t="s">
        <v>67</v>
      </c>
      <c r="D30" s="2"/>
      <c r="E30" s="2"/>
      <c r="F30" s="2"/>
      <c r="G30" s="2"/>
      <c r="H30" s="141"/>
      <c r="I30" s="2"/>
      <c r="J30" s="2"/>
    </row>
    <row r="31" spans="2:10" x14ac:dyDescent="0.2">
      <c r="B31" s="137"/>
      <c r="C31" s="2" t="s">
        <v>677</v>
      </c>
      <c r="D31" s="2" t="s">
        <v>88</v>
      </c>
      <c r="E31" s="148">
        <f>Parameters!H40</f>
        <v>6.4600000000000005E-2</v>
      </c>
      <c r="F31" s="2"/>
      <c r="G31" s="2"/>
      <c r="H31" s="141"/>
      <c r="I31" s="2"/>
      <c r="J31" s="2"/>
    </row>
    <row r="32" spans="2:10" x14ac:dyDescent="0.2">
      <c r="B32" s="137"/>
      <c r="C32" s="2" t="s">
        <v>678</v>
      </c>
      <c r="D32" s="2" t="s">
        <v>88</v>
      </c>
      <c r="E32" s="148">
        <f>Parameters!H41</f>
        <v>5.7200000000000001E-2</v>
      </c>
      <c r="F32" s="2"/>
      <c r="G32" s="2"/>
      <c r="H32" s="141"/>
      <c r="I32" s="2"/>
      <c r="J32" s="2"/>
    </row>
    <row r="33" spans="2:28" x14ac:dyDescent="0.2">
      <c r="B33" s="137"/>
      <c r="C33" s="2" t="s">
        <v>679</v>
      </c>
      <c r="D33" s="2" t="s">
        <v>88</v>
      </c>
      <c r="E33" s="148">
        <f>Parameters!H42</f>
        <v>6.3799999999999996E-2</v>
      </c>
      <c r="F33" s="2"/>
      <c r="G33" s="2"/>
      <c r="H33" s="141"/>
      <c r="I33" s="2"/>
      <c r="J33" s="2"/>
    </row>
    <row r="34" spans="2:28" x14ac:dyDescent="0.2">
      <c r="B34" s="137"/>
      <c r="C34" s="2" t="s">
        <v>87</v>
      </c>
      <c r="D34" s="2" t="s">
        <v>88</v>
      </c>
      <c r="E34" s="148">
        <f>Parameters!H27</f>
        <v>6.4000000000000001E-2</v>
      </c>
      <c r="F34" s="2"/>
      <c r="G34" s="2"/>
      <c r="H34" s="141"/>
      <c r="I34" s="2"/>
      <c r="J34" s="2"/>
    </row>
    <row r="35" spans="2:28" x14ac:dyDescent="0.2">
      <c r="B35" s="137"/>
      <c r="C35" s="2" t="s">
        <v>90</v>
      </c>
      <c r="D35" s="2" t="s">
        <v>88</v>
      </c>
      <c r="E35" s="148">
        <f>Parameters!H28</f>
        <v>-1.0999999999999999E-2</v>
      </c>
      <c r="F35" s="2"/>
      <c r="G35" s="2"/>
      <c r="H35" s="141"/>
      <c r="I35" s="2"/>
      <c r="J35" s="2"/>
    </row>
    <row r="36" spans="2:28" x14ac:dyDescent="0.2">
      <c r="B36" s="137"/>
      <c r="C36" s="2" t="s">
        <v>94</v>
      </c>
      <c r="D36" s="2" t="s">
        <v>88</v>
      </c>
      <c r="E36" s="148">
        <f>Parameters!H32</f>
        <v>0.03</v>
      </c>
      <c r="F36" s="2"/>
      <c r="G36" s="2"/>
      <c r="H36" s="141"/>
      <c r="I36" s="2"/>
      <c r="J36" s="2"/>
    </row>
    <row r="37" spans="2:28" x14ac:dyDescent="0.2">
      <c r="B37" s="137"/>
      <c r="C37" s="2" t="s">
        <v>680</v>
      </c>
      <c r="D37" s="2" t="s">
        <v>88</v>
      </c>
      <c r="E37" s="148">
        <f>'Estimates for 2024'!P28</f>
        <v>1.2820512820512822E-2</v>
      </c>
      <c r="F37" s="2"/>
      <c r="G37" s="2"/>
      <c r="H37" s="141"/>
      <c r="I37" s="2"/>
      <c r="J37" s="2"/>
    </row>
    <row r="38" spans="2:28" x14ac:dyDescent="0.2">
      <c r="B38" s="137"/>
      <c r="C38" s="2" t="s">
        <v>658</v>
      </c>
      <c r="D38" s="2" t="s">
        <v>88</v>
      </c>
      <c r="E38" s="148">
        <f>Parameters!H46</f>
        <v>0.5</v>
      </c>
      <c r="F38" s="2"/>
      <c r="H38" s="141"/>
      <c r="I38" s="2"/>
      <c r="J38" s="2"/>
      <c r="K38" s="2"/>
      <c r="L38" s="2"/>
      <c r="M38" s="2"/>
      <c r="N38" s="2"/>
      <c r="O38" s="2"/>
      <c r="P38" s="2"/>
      <c r="Q38" s="2"/>
      <c r="R38" s="2"/>
      <c r="S38" s="2"/>
      <c r="T38" s="2"/>
      <c r="U38" s="2"/>
      <c r="V38" s="2"/>
      <c r="W38" s="2"/>
      <c r="X38" s="2"/>
      <c r="Y38" s="2"/>
      <c r="Z38" s="2"/>
      <c r="AA38" s="2"/>
      <c r="AB38" s="2"/>
    </row>
    <row r="39" spans="2:28" x14ac:dyDescent="0.2">
      <c r="B39" s="137"/>
      <c r="D39" s="2"/>
      <c r="H39" s="141"/>
      <c r="I39" s="2"/>
      <c r="J39" s="2"/>
    </row>
    <row r="40" spans="2:28" ht="25.5" customHeight="1" x14ac:dyDescent="0.2">
      <c r="B40" s="137"/>
      <c r="C40" s="1" t="s">
        <v>669</v>
      </c>
      <c r="D40" s="149"/>
      <c r="E40" s="150" t="s">
        <v>659</v>
      </c>
      <c r="F40" s="150" t="s">
        <v>660</v>
      </c>
      <c r="G40" s="150" t="s">
        <v>76</v>
      </c>
      <c r="H40" s="141"/>
      <c r="I40" s="2"/>
      <c r="J40" s="2"/>
    </row>
    <row r="41" spans="2:28" x14ac:dyDescent="0.2">
      <c r="B41" s="137"/>
      <c r="C41" s="2" t="s">
        <v>442</v>
      </c>
      <c r="D41" s="2" t="s">
        <v>108</v>
      </c>
      <c r="E41" s="151">
        <f>'Calculation cost base 2024'!N37</f>
        <v>594864.90738965385</v>
      </c>
      <c r="F41" s="151">
        <f>'Calculation cost base 2024'!O37</f>
        <v>835612.60997955757</v>
      </c>
      <c r="G41" s="151">
        <f>'Calculation cost base 2024'!P37</f>
        <v>10852.111817916333</v>
      </c>
      <c r="H41" s="141"/>
      <c r="I41" s="2"/>
      <c r="J41" s="2"/>
    </row>
    <row r="42" spans="2:28" x14ac:dyDescent="0.2">
      <c r="B42" s="137"/>
      <c r="C42" s="2" t="s">
        <v>110</v>
      </c>
      <c r="D42" s="2" t="s">
        <v>108</v>
      </c>
      <c r="E42" s="151">
        <f>'Calculation cost base 2024'!N38</f>
        <v>-838.2788484082314</v>
      </c>
      <c r="F42" s="151">
        <f>'Calculation cost base 2024'!O38</f>
        <v>68899.524295852229</v>
      </c>
      <c r="G42" s="151">
        <f>'Calculation cost base 2024'!P38</f>
        <v>894.79901682924981</v>
      </c>
      <c r="H42" s="141"/>
      <c r="I42" s="2"/>
      <c r="J42" s="2"/>
    </row>
    <row r="43" spans="2:28" x14ac:dyDescent="0.2">
      <c r="B43" s="137"/>
      <c r="C43" s="2" t="s">
        <v>670</v>
      </c>
      <c r="D43" s="2" t="s">
        <v>114</v>
      </c>
      <c r="E43" s="151">
        <f>'Calculation cost base 2024'!N35</f>
        <v>1364182.3299102224</v>
      </c>
      <c r="F43" s="151">
        <f>'Calculation cost base 2024'!O35</f>
        <v>2790336.3850366506</v>
      </c>
      <c r="G43" s="151">
        <f>'Calculation cost base 2024'!P35</f>
        <v>37214.206466885793</v>
      </c>
      <c r="H43" s="141"/>
      <c r="I43" s="2"/>
      <c r="J43" s="2"/>
    </row>
    <row r="44" spans="2:28" x14ac:dyDescent="0.2">
      <c r="B44" s="137"/>
      <c r="C44" s="2" t="s">
        <v>671</v>
      </c>
      <c r="D44" s="2" t="s">
        <v>114</v>
      </c>
      <c r="E44" s="151">
        <f>'Calculation cost base 2024'!N36</f>
        <v>122271.43611731179</v>
      </c>
      <c r="F44" s="151">
        <f>'Calculation cost base 2024'!O36</f>
        <v>192035.96793402289</v>
      </c>
      <c r="G44" s="151">
        <f>'Calculation cost base 2024'!P36</f>
        <v>2680.7275048510401</v>
      </c>
      <c r="H44" s="141"/>
      <c r="I44" s="2"/>
      <c r="J44" s="2"/>
    </row>
    <row r="45" spans="2:28" x14ac:dyDescent="0.2">
      <c r="B45" s="137"/>
      <c r="C45" s="2"/>
      <c r="D45" s="2"/>
      <c r="E45" s="2"/>
      <c r="F45" s="2"/>
      <c r="G45" s="2"/>
      <c r="H45" s="141"/>
      <c r="I45" s="2"/>
      <c r="J45" s="2"/>
    </row>
    <row r="46" spans="2:28" x14ac:dyDescent="0.2">
      <c r="B46" s="137"/>
      <c r="C46" s="1" t="s">
        <v>661</v>
      </c>
      <c r="D46" s="2"/>
      <c r="E46" s="2"/>
      <c r="F46" s="2"/>
      <c r="H46" s="141"/>
      <c r="I46" s="2"/>
      <c r="J46" s="2"/>
    </row>
    <row r="47" spans="2:28" x14ac:dyDescent="0.2">
      <c r="B47" s="137"/>
      <c r="C47" s="67" t="s">
        <v>681</v>
      </c>
      <c r="D47" s="67" t="s">
        <v>205</v>
      </c>
      <c r="E47" s="2"/>
      <c r="F47" s="151">
        <f>'Capital cost correction'!O32</f>
        <v>552593.9795834719</v>
      </c>
      <c r="H47" s="141"/>
      <c r="I47" s="2"/>
      <c r="J47" s="2"/>
    </row>
    <row r="48" spans="2:28" x14ac:dyDescent="0.2">
      <c r="B48" s="137"/>
      <c r="C48" s="67" t="s">
        <v>682</v>
      </c>
      <c r="D48" s="67" t="s">
        <v>205</v>
      </c>
      <c r="E48" s="2"/>
      <c r="F48" s="151">
        <f>'Capital cost correction'!O33</f>
        <v>37320.24144946337</v>
      </c>
      <c r="H48" s="141"/>
      <c r="I48" s="2"/>
      <c r="J48" s="2"/>
    </row>
    <row r="49" spans="2:10" x14ac:dyDescent="0.2">
      <c r="B49" s="137"/>
      <c r="H49" s="141"/>
      <c r="I49" s="2"/>
      <c r="J49" s="2"/>
    </row>
    <row r="50" spans="2:10" x14ac:dyDescent="0.2">
      <c r="B50" s="137"/>
      <c r="C50" s="1" t="s">
        <v>204</v>
      </c>
      <c r="D50" s="2"/>
      <c r="H50" s="138"/>
    </row>
    <row r="51" spans="2:10" x14ac:dyDescent="0.2">
      <c r="B51" s="137"/>
      <c r="C51" s="2" t="s">
        <v>672</v>
      </c>
      <c r="D51" s="67" t="s">
        <v>205</v>
      </c>
      <c r="E51" s="151">
        <f>'Overview corrections'!N37</f>
        <v>-29354.710855463785</v>
      </c>
      <c r="F51" s="151">
        <f>'Overview corrections'!O37</f>
        <v>4239.5938507465135</v>
      </c>
      <c r="G51" s="151">
        <f>'Overview corrections'!P37</f>
        <v>-12318.093757467785</v>
      </c>
      <c r="H51" s="138"/>
    </row>
    <row r="52" spans="2:10" x14ac:dyDescent="0.2">
      <c r="B52" s="137"/>
      <c r="C52" s="2" t="s">
        <v>673</v>
      </c>
      <c r="D52" s="67" t="s">
        <v>205</v>
      </c>
      <c r="E52" s="151">
        <f>'Overview corrections'!N38</f>
        <v>-70823.014531242166</v>
      </c>
      <c r="F52" s="151">
        <f>'Overview corrections'!O38</f>
        <v>25678.855541445715</v>
      </c>
      <c r="G52" s="151">
        <f>'Overview corrections'!P38</f>
        <v>8207.7448921626055</v>
      </c>
      <c r="H52" s="138"/>
    </row>
    <row r="53" spans="2:10" x14ac:dyDescent="0.2">
      <c r="B53" s="137"/>
      <c r="C53" s="2" t="s">
        <v>206</v>
      </c>
      <c r="D53" s="67" t="s">
        <v>205</v>
      </c>
      <c r="F53" s="151">
        <f>'Profit Sharing 2022'!O67</f>
        <v>179864.37459842642</v>
      </c>
      <c r="H53" s="138"/>
    </row>
    <row r="54" spans="2:10" x14ac:dyDescent="0.2">
      <c r="B54" s="137"/>
      <c r="C54" s="2" t="s">
        <v>674</v>
      </c>
      <c r="D54" s="67" t="s">
        <v>205</v>
      </c>
      <c r="E54" s="151">
        <f>'Energy cost correction 2023'!N27</f>
        <v>-42216.387807881103</v>
      </c>
      <c r="H54" s="138"/>
    </row>
    <row r="55" spans="2:10" x14ac:dyDescent="0.2">
      <c r="B55" s="137"/>
      <c r="H55" s="138"/>
    </row>
    <row r="56" spans="2:10" x14ac:dyDescent="0.2">
      <c r="B56" s="137"/>
      <c r="C56" s="1" t="s">
        <v>683</v>
      </c>
      <c r="D56" s="2"/>
      <c r="E56" s="2"/>
      <c r="F56" s="2"/>
      <c r="H56" s="141"/>
      <c r="J56" s="2"/>
    </row>
    <row r="57" spans="2:10" x14ac:dyDescent="0.2">
      <c r="B57" s="137"/>
      <c r="C57" s="67" t="s">
        <v>684</v>
      </c>
      <c r="D57" s="2" t="s">
        <v>205</v>
      </c>
      <c r="E57" s="151">
        <f>'Calculation cost base 2024'!N69</f>
        <v>755480.47888693179</v>
      </c>
      <c r="F57" s="151">
        <f>'Calculation cost base 2024'!O69</f>
        <v>674414.50767331733</v>
      </c>
      <c r="G57" s="151">
        <f>'Calculation cost base 2024'!P69</f>
        <v>9553.0878223043801</v>
      </c>
      <c r="H57" s="138"/>
    </row>
    <row r="58" spans="2:10" x14ac:dyDescent="0.2">
      <c r="B58" s="137"/>
      <c r="C58" s="67" t="s">
        <v>641</v>
      </c>
      <c r="D58" s="2" t="s">
        <v>288</v>
      </c>
      <c r="E58" s="170">
        <f>'Calculation cost base 2024'!N71</f>
        <v>0.4299455916369313</v>
      </c>
      <c r="F58" s="170">
        <f>'Calculation cost base 2024'!O72</f>
        <v>256.55970581620693</v>
      </c>
      <c r="G58" s="170">
        <f>'Calculation cost base 2024'!P71</f>
        <v>0.97279191932370968</v>
      </c>
      <c r="H58" s="138"/>
      <c r="J58" s="2"/>
    </row>
    <row r="59" spans="2:10" x14ac:dyDescent="0.2">
      <c r="B59" s="137"/>
      <c r="C59" s="67" t="s">
        <v>662</v>
      </c>
      <c r="D59" s="2" t="s">
        <v>288</v>
      </c>
      <c r="F59" s="170">
        <f>'Calculation cost base 2024'!O73</f>
        <v>638.40609323957256</v>
      </c>
      <c r="H59" s="138"/>
    </row>
    <row r="60" spans="2:10" x14ac:dyDescent="0.2">
      <c r="B60" s="137"/>
      <c r="C60" s="67" t="s">
        <v>685</v>
      </c>
      <c r="D60" s="2" t="s">
        <v>205</v>
      </c>
      <c r="E60" s="151">
        <f>'Water Production'!N31</f>
        <v>731811.26972219546</v>
      </c>
      <c r="F60" s="151">
        <f>'Water Distribution'!O49</f>
        <v>1316206.4161774127</v>
      </c>
      <c r="G60" s="151">
        <f>'Water Distribution'!P63</f>
        <v>8578.9657612075043</v>
      </c>
      <c r="H60" s="138"/>
    </row>
    <row r="61" spans="2:10" x14ac:dyDescent="0.2">
      <c r="B61" s="137"/>
      <c r="C61" s="2" t="s">
        <v>663</v>
      </c>
      <c r="D61" s="2" t="s">
        <v>205</v>
      </c>
      <c r="E61" s="151">
        <f>'Water Production'!N36</f>
        <v>357402.57710066787</v>
      </c>
      <c r="F61" s="2"/>
      <c r="G61" s="2"/>
      <c r="H61" s="141"/>
    </row>
    <row r="62" spans="2:10" x14ac:dyDescent="0.2">
      <c r="B62" s="137"/>
      <c r="H62" s="138"/>
    </row>
    <row r="63" spans="2:10" x14ac:dyDescent="0.2">
      <c r="B63" s="137"/>
      <c r="C63" s="154" t="s">
        <v>686</v>
      </c>
      <c r="H63" s="138"/>
    </row>
    <row r="64" spans="2:10" x14ac:dyDescent="0.2">
      <c r="B64" s="137"/>
      <c r="C64" s="2" t="s">
        <v>642</v>
      </c>
      <c r="D64" s="2" t="s">
        <v>127</v>
      </c>
      <c r="E64" s="151">
        <f>'Estimates for 2024'!N14</f>
        <v>197952.55799999996</v>
      </c>
      <c r="H64" s="138"/>
    </row>
    <row r="65" spans="2:8" x14ac:dyDescent="0.2">
      <c r="B65" s="137"/>
      <c r="C65" s="2" t="s">
        <v>664</v>
      </c>
      <c r="D65" s="2" t="s">
        <v>127</v>
      </c>
      <c r="E65" s="161"/>
      <c r="G65" s="151">
        <f>'Estimates for 2024'!P27</f>
        <v>1979.52558</v>
      </c>
      <c r="H65" s="138"/>
    </row>
    <row r="66" spans="2:8" x14ac:dyDescent="0.2">
      <c r="B66" s="137"/>
      <c r="C66" s="2" t="s">
        <v>665</v>
      </c>
      <c r="D66" s="2" t="s">
        <v>149</v>
      </c>
      <c r="E66" s="153">
        <f>'Estimates for 2024'!N40</f>
        <v>4.511265293942107</v>
      </c>
      <c r="G66" s="161"/>
      <c r="H66" s="138"/>
    </row>
    <row r="67" spans="2:8" x14ac:dyDescent="0.2">
      <c r="B67" s="137"/>
      <c r="C67" s="2" t="s">
        <v>666</v>
      </c>
      <c r="D67" s="2" t="s">
        <v>126</v>
      </c>
      <c r="E67" s="162">
        <f>'Estimates for 2024'!B59</f>
        <v>85.5</v>
      </c>
      <c r="G67" s="161"/>
      <c r="H67" s="138"/>
    </row>
    <row r="68" spans="2:8" s="165" customFormat="1" x14ac:dyDescent="0.2">
      <c r="B68" s="163"/>
      <c r="C68" s="93"/>
      <c r="D68" s="93"/>
      <c r="E68" s="164"/>
      <c r="G68" s="161"/>
      <c r="H68" s="166"/>
    </row>
    <row r="69" spans="2:8" x14ac:dyDescent="0.2">
      <c r="B69" s="137"/>
      <c r="C69" s="2" t="s">
        <v>687</v>
      </c>
      <c r="D69" s="2" t="s">
        <v>88</v>
      </c>
      <c r="F69" s="157">
        <f>'Estimates for 2024'!O17</f>
        <v>0.22</v>
      </c>
      <c r="H69" s="138"/>
    </row>
    <row r="70" spans="2:8" x14ac:dyDescent="0.2">
      <c r="B70" s="137"/>
      <c r="C70" s="2" t="s">
        <v>688</v>
      </c>
      <c r="D70" s="2" t="s">
        <v>163</v>
      </c>
      <c r="F70" s="151">
        <f>'Estimates for 2024'!O68</f>
        <v>1149.8493807187922</v>
      </c>
      <c r="H70" s="138"/>
    </row>
    <row r="71" spans="2:8" x14ac:dyDescent="0.2">
      <c r="B71" s="137"/>
      <c r="C71" s="2"/>
      <c r="D71" s="2"/>
      <c r="H71" s="138"/>
    </row>
    <row r="72" spans="2:8" x14ac:dyDescent="0.2">
      <c r="B72" s="137"/>
      <c r="H72" s="138"/>
    </row>
    <row r="73" spans="2:8" x14ac:dyDescent="0.2">
      <c r="B73" s="137"/>
      <c r="C73" s="67" t="s">
        <v>648</v>
      </c>
      <c r="H73" s="138"/>
    </row>
    <row r="74" spans="2:8" x14ac:dyDescent="0.2">
      <c r="B74" s="137"/>
      <c r="H74" s="138"/>
    </row>
    <row r="75" spans="2:8" x14ac:dyDescent="0.2">
      <c r="B75" s="143"/>
      <c r="C75" s="158"/>
      <c r="D75" s="158"/>
      <c r="E75" s="158"/>
      <c r="F75" s="158"/>
      <c r="G75" s="158"/>
      <c r="H75" s="159"/>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CCC8D9"/>
  </sheetPr>
  <dimension ref="B2:I55"/>
  <sheetViews>
    <sheetView showGridLines="0" zoomScale="85" zoomScaleNormal="85" workbookViewId="0">
      <pane ySplit="3" topLeftCell="A4" activePane="bottomLeft" state="frozen"/>
      <selection activeCell="O39" sqref="O39"/>
      <selection pane="bottomLeft" activeCell="A4" sqref="A4"/>
    </sheetView>
  </sheetViews>
  <sheetFormatPr defaultColWidth="9.140625" defaultRowHeight="12.75" x14ac:dyDescent="0.2"/>
  <cols>
    <col min="1" max="1" width="4.7109375" style="2" customWidth="1"/>
    <col min="2" max="2" width="7.5703125" style="2" customWidth="1"/>
    <col min="3" max="3" width="35.140625" style="2" customWidth="1"/>
    <col min="4" max="4" width="110.42578125" style="2" customWidth="1"/>
    <col min="5" max="5" width="39" style="2" customWidth="1"/>
    <col min="6" max="6" width="40.7109375" style="2" customWidth="1"/>
    <col min="7" max="7" width="34.140625" style="2" customWidth="1"/>
    <col min="8" max="8" width="11.85546875" style="2" customWidth="1"/>
    <col min="9" max="9" width="28.7109375" style="2" customWidth="1"/>
    <col min="10" max="10" width="18.42578125" style="2" customWidth="1"/>
    <col min="11" max="12" width="58.42578125" style="2" customWidth="1"/>
    <col min="13" max="16384" width="9.140625" style="2"/>
  </cols>
  <sheetData>
    <row r="2" spans="2:9" s="7" customFormat="1" ht="18" x14ac:dyDescent="0.2">
      <c r="B2" s="7" t="s">
        <v>27</v>
      </c>
    </row>
    <row r="5" spans="2:9" s="8" customFormat="1" x14ac:dyDescent="0.2">
      <c r="B5" s="8" t="s">
        <v>28</v>
      </c>
    </row>
    <row r="7" spans="2:9" x14ac:dyDescent="0.2">
      <c r="B7" s="4" t="s">
        <v>59</v>
      </c>
    </row>
    <row r="8" spans="2:9" x14ac:dyDescent="0.2">
      <c r="B8" s="4" t="s">
        <v>29</v>
      </c>
    </row>
    <row r="9" spans="2:9" x14ac:dyDescent="0.2">
      <c r="B9" s="4"/>
    </row>
    <row r="10" spans="2:9" x14ac:dyDescent="0.2">
      <c r="B10" s="31" t="s">
        <v>30</v>
      </c>
      <c r="C10" s="31" t="s">
        <v>31</v>
      </c>
      <c r="D10" s="31" t="s">
        <v>32</v>
      </c>
      <c r="E10" s="31" t="s">
        <v>66</v>
      </c>
      <c r="F10" s="31" t="s">
        <v>56</v>
      </c>
      <c r="G10" s="31" t="s">
        <v>7</v>
      </c>
      <c r="I10" s="18"/>
    </row>
    <row r="11" spans="2:9" x14ac:dyDescent="0.2">
      <c r="B11" s="15"/>
      <c r="C11" s="15" t="s">
        <v>33</v>
      </c>
      <c r="D11" s="15" t="s">
        <v>34</v>
      </c>
      <c r="E11" s="15" t="s">
        <v>45</v>
      </c>
      <c r="F11" s="15" t="s">
        <v>35</v>
      </c>
      <c r="G11" s="15"/>
    </row>
    <row r="12" spans="2:9" x14ac:dyDescent="0.2">
      <c r="B12" s="6">
        <v>1</v>
      </c>
      <c r="C12" s="6" t="s">
        <v>180</v>
      </c>
      <c r="D12" s="6"/>
      <c r="E12" s="70" t="s">
        <v>181</v>
      </c>
      <c r="F12" s="6"/>
      <c r="G12" s="6"/>
    </row>
    <row r="13" spans="2:9" x14ac:dyDescent="0.2">
      <c r="B13" s="6">
        <v>2</v>
      </c>
      <c r="C13" s="6" t="s">
        <v>84</v>
      </c>
      <c r="D13" s="6"/>
      <c r="E13" s="70" t="s">
        <v>182</v>
      </c>
      <c r="F13" s="6"/>
      <c r="G13" s="6"/>
    </row>
    <row r="14" spans="2:9" x14ac:dyDescent="0.2">
      <c r="B14" s="6">
        <v>3</v>
      </c>
      <c r="C14" s="6" t="s">
        <v>95</v>
      </c>
      <c r="D14" s="6"/>
      <c r="E14" s="70" t="s">
        <v>183</v>
      </c>
      <c r="F14" s="6"/>
      <c r="G14" s="6"/>
    </row>
    <row r="15" spans="2:9" x14ac:dyDescent="0.2">
      <c r="B15" s="6">
        <v>4</v>
      </c>
      <c r="C15" s="6" t="s">
        <v>337</v>
      </c>
      <c r="D15" s="6" t="s">
        <v>576</v>
      </c>
      <c r="E15" s="127" t="s">
        <v>575</v>
      </c>
      <c r="F15" s="6"/>
      <c r="G15" s="6"/>
    </row>
    <row r="16" spans="2:9" x14ac:dyDescent="0.2">
      <c r="B16" s="6">
        <v>5</v>
      </c>
      <c r="C16" s="6" t="s">
        <v>92</v>
      </c>
      <c r="D16" s="6" t="s">
        <v>184</v>
      </c>
      <c r="E16" s="70" t="s">
        <v>185</v>
      </c>
      <c r="F16" s="6"/>
      <c r="G16" s="6"/>
    </row>
    <row r="17" spans="2:7" x14ac:dyDescent="0.2">
      <c r="B17" s="6">
        <v>6</v>
      </c>
      <c r="C17" s="6" t="s">
        <v>577</v>
      </c>
      <c r="D17" s="6" t="s">
        <v>579</v>
      </c>
      <c r="E17" s="127" t="s">
        <v>578</v>
      </c>
      <c r="F17" s="6"/>
      <c r="G17" s="6"/>
    </row>
    <row r="18" spans="2:7" x14ac:dyDescent="0.2">
      <c r="B18" s="6">
        <v>7</v>
      </c>
      <c r="C18" s="6" t="s">
        <v>584</v>
      </c>
      <c r="D18" s="6" t="s">
        <v>587</v>
      </c>
      <c r="E18" s="70" t="s">
        <v>200</v>
      </c>
      <c r="F18" s="6"/>
      <c r="G18" s="6"/>
    </row>
    <row r="19" spans="2:7" x14ac:dyDescent="0.2">
      <c r="B19" s="6">
        <v>8</v>
      </c>
      <c r="C19" s="6" t="s">
        <v>583</v>
      </c>
      <c r="D19" s="6" t="s">
        <v>588</v>
      </c>
      <c r="E19" s="127" t="s">
        <v>585</v>
      </c>
      <c r="F19" s="6"/>
      <c r="G19" s="6"/>
    </row>
    <row r="20" spans="2:7" x14ac:dyDescent="0.2">
      <c r="B20" s="6">
        <v>9</v>
      </c>
      <c r="C20" s="6" t="s">
        <v>581</v>
      </c>
      <c r="D20" s="6" t="s">
        <v>508</v>
      </c>
      <c r="E20" s="70" t="s">
        <v>199</v>
      </c>
      <c r="F20" s="6"/>
      <c r="G20" s="6"/>
    </row>
    <row r="21" spans="2:7" x14ac:dyDescent="0.2">
      <c r="B21" s="6">
        <v>10</v>
      </c>
      <c r="C21" s="6" t="s">
        <v>582</v>
      </c>
      <c r="D21" s="6" t="s">
        <v>586</v>
      </c>
      <c r="E21" s="127" t="s">
        <v>580</v>
      </c>
      <c r="F21" s="6"/>
      <c r="G21" s="6"/>
    </row>
    <row r="22" spans="2:7" x14ac:dyDescent="0.2">
      <c r="B22" s="6">
        <v>11</v>
      </c>
      <c r="C22" s="6" t="s">
        <v>186</v>
      </c>
      <c r="D22" s="6" t="s">
        <v>505</v>
      </c>
      <c r="E22" s="6"/>
      <c r="F22" s="6"/>
      <c r="G22" s="6"/>
    </row>
    <row r="23" spans="2:7" x14ac:dyDescent="0.2">
      <c r="B23" s="6">
        <v>12</v>
      </c>
      <c r="C23" s="6" t="s">
        <v>187</v>
      </c>
      <c r="D23" s="6" t="s">
        <v>506</v>
      </c>
      <c r="E23" s="6"/>
      <c r="F23" s="6"/>
      <c r="G23" s="6"/>
    </row>
    <row r="24" spans="2:7" x14ac:dyDescent="0.2">
      <c r="B24" s="6">
        <v>13</v>
      </c>
      <c r="C24" s="6" t="s">
        <v>196</v>
      </c>
      <c r="D24" s="6" t="s">
        <v>503</v>
      </c>
      <c r="E24" s="6"/>
      <c r="F24" s="6"/>
      <c r="G24" s="6"/>
    </row>
    <row r="25" spans="2:7" x14ac:dyDescent="0.2">
      <c r="B25" s="6">
        <v>14</v>
      </c>
      <c r="C25" s="6" t="s">
        <v>121</v>
      </c>
      <c r="D25" s="9" t="s">
        <v>614</v>
      </c>
      <c r="E25" s="6"/>
      <c r="F25" s="6"/>
      <c r="G25" s="6"/>
    </row>
    <row r="26" spans="2:7" x14ac:dyDescent="0.2">
      <c r="B26" s="6">
        <v>15</v>
      </c>
      <c r="C26" s="6" t="s">
        <v>188</v>
      </c>
      <c r="D26" s="6" t="s">
        <v>540</v>
      </c>
      <c r="E26" s="6" t="s">
        <v>502</v>
      </c>
      <c r="F26" s="6"/>
      <c r="G26" s="6"/>
    </row>
    <row r="27" spans="2:7" x14ac:dyDescent="0.2">
      <c r="B27" s="6">
        <v>16</v>
      </c>
      <c r="C27" s="6" t="s">
        <v>189</v>
      </c>
      <c r="D27" s="6" t="s">
        <v>507</v>
      </c>
      <c r="E27" s="6" t="s">
        <v>502</v>
      </c>
      <c r="F27" s="6"/>
      <c r="G27" s="6"/>
    </row>
    <row r="28" spans="2:7" x14ac:dyDescent="0.2">
      <c r="B28" s="6">
        <v>17</v>
      </c>
      <c r="C28" s="6" t="s">
        <v>190</v>
      </c>
      <c r="D28" s="6" t="s">
        <v>191</v>
      </c>
      <c r="E28" s="6" t="s">
        <v>502</v>
      </c>
      <c r="F28" s="6"/>
      <c r="G28" s="6"/>
    </row>
    <row r="29" spans="2:7" x14ac:dyDescent="0.2">
      <c r="B29" s="6">
        <v>18</v>
      </c>
      <c r="C29" s="6" t="s">
        <v>515</v>
      </c>
      <c r="D29" s="6" t="s">
        <v>517</v>
      </c>
      <c r="E29" s="6" t="s">
        <v>502</v>
      </c>
      <c r="F29" s="6"/>
      <c r="G29" s="6"/>
    </row>
    <row r="30" spans="2:7" x14ac:dyDescent="0.2">
      <c r="B30" s="6">
        <v>19</v>
      </c>
      <c r="C30" s="6" t="s">
        <v>192</v>
      </c>
      <c r="D30" s="6" t="s">
        <v>193</v>
      </c>
      <c r="E30" s="6" t="s">
        <v>502</v>
      </c>
      <c r="F30" s="6"/>
      <c r="G30" s="6"/>
    </row>
    <row r="31" spans="2:7" x14ac:dyDescent="0.2">
      <c r="B31" s="6">
        <v>20</v>
      </c>
      <c r="C31" s="6" t="s">
        <v>194</v>
      </c>
      <c r="D31" s="6" t="s">
        <v>195</v>
      </c>
      <c r="E31" s="6" t="s">
        <v>502</v>
      </c>
      <c r="F31" s="6"/>
      <c r="G31" s="6"/>
    </row>
    <row r="32" spans="2:7" x14ac:dyDescent="0.2">
      <c r="B32" s="6">
        <v>21</v>
      </c>
      <c r="C32" s="6" t="s">
        <v>516</v>
      </c>
      <c r="D32" s="6" t="s">
        <v>518</v>
      </c>
      <c r="E32" s="6" t="s">
        <v>502</v>
      </c>
      <c r="F32" s="6"/>
      <c r="G32" s="6"/>
    </row>
    <row r="33" spans="2:7" x14ac:dyDescent="0.2">
      <c r="B33" s="6">
        <v>22</v>
      </c>
      <c r="C33" s="6" t="s">
        <v>527</v>
      </c>
      <c r="D33" s="6" t="s">
        <v>528</v>
      </c>
      <c r="E33" s="6" t="s">
        <v>502</v>
      </c>
      <c r="F33" s="6"/>
      <c r="G33" s="6"/>
    </row>
    <row r="34" spans="2:7" x14ac:dyDescent="0.2">
      <c r="B34" s="6">
        <v>23</v>
      </c>
      <c r="C34" s="6" t="s">
        <v>134</v>
      </c>
      <c r="D34" s="6" t="s">
        <v>524</v>
      </c>
      <c r="E34" s="6" t="s">
        <v>504</v>
      </c>
      <c r="F34" s="6"/>
      <c r="G34" s="6"/>
    </row>
    <row r="35" spans="2:7" x14ac:dyDescent="0.2">
      <c r="B35" s="6">
        <v>24</v>
      </c>
      <c r="C35" s="2" t="s">
        <v>532</v>
      </c>
      <c r="D35" s="6" t="s">
        <v>573</v>
      </c>
      <c r="E35" s="6" t="s">
        <v>574</v>
      </c>
      <c r="F35" s="6"/>
      <c r="G35" s="6"/>
    </row>
    <row r="36" spans="2:7" x14ac:dyDescent="0.2">
      <c r="B36" s="6">
        <v>25</v>
      </c>
      <c r="C36" s="6" t="s">
        <v>147</v>
      </c>
      <c r="D36" s="6" t="s">
        <v>521</v>
      </c>
      <c r="E36" s="6" t="s">
        <v>504</v>
      </c>
      <c r="F36" s="6"/>
      <c r="G36" s="6"/>
    </row>
    <row r="37" spans="2:7" x14ac:dyDescent="0.2">
      <c r="B37" s="6">
        <v>26</v>
      </c>
      <c r="C37" s="6" t="s">
        <v>197</v>
      </c>
      <c r="D37" s="6" t="s">
        <v>522</v>
      </c>
      <c r="E37" s="6" t="s">
        <v>504</v>
      </c>
      <c r="F37" s="6"/>
      <c r="G37" s="6"/>
    </row>
    <row r="38" spans="2:7" x14ac:dyDescent="0.2">
      <c r="B38" s="6">
        <v>27</v>
      </c>
      <c r="C38" s="6" t="s">
        <v>198</v>
      </c>
      <c r="D38" s="6" t="s">
        <v>523</v>
      </c>
      <c r="E38" s="6" t="s">
        <v>504</v>
      </c>
      <c r="F38" s="6"/>
      <c r="G38" s="6"/>
    </row>
    <row r="39" spans="2:7" x14ac:dyDescent="0.2">
      <c r="B39" s="6">
        <v>28</v>
      </c>
      <c r="C39" s="6" t="s">
        <v>164</v>
      </c>
      <c r="D39" s="6" t="s">
        <v>514</v>
      </c>
      <c r="E39" s="6" t="s">
        <v>502</v>
      </c>
      <c r="F39" s="6"/>
      <c r="G39" s="6"/>
    </row>
    <row r="40" spans="2:7" x14ac:dyDescent="0.2">
      <c r="B40" s="6">
        <v>29</v>
      </c>
      <c r="C40" s="6" t="s">
        <v>170</v>
      </c>
      <c r="D40" s="6" t="s">
        <v>519</v>
      </c>
      <c r="E40" s="6" t="s">
        <v>504</v>
      </c>
      <c r="F40" s="6"/>
      <c r="G40" s="6"/>
    </row>
    <row r="41" spans="2:7" x14ac:dyDescent="0.2">
      <c r="B41" s="6">
        <v>30</v>
      </c>
      <c r="C41" s="6" t="s">
        <v>542</v>
      </c>
      <c r="D41" s="6" t="s">
        <v>541</v>
      </c>
      <c r="E41" s="6" t="s">
        <v>504</v>
      </c>
      <c r="F41" s="6"/>
      <c r="G41" s="6"/>
    </row>
    <row r="42" spans="2:7" x14ac:dyDescent="0.2">
      <c r="B42" s="6">
        <v>31</v>
      </c>
      <c r="C42" s="6" t="s">
        <v>178</v>
      </c>
      <c r="D42" s="6" t="s">
        <v>520</v>
      </c>
      <c r="E42" s="6" t="s">
        <v>504</v>
      </c>
      <c r="F42" s="6"/>
      <c r="G42" s="6"/>
    </row>
    <row r="43" spans="2:7" x14ac:dyDescent="0.2">
      <c r="B43" s="6">
        <v>32</v>
      </c>
      <c r="C43" s="6" t="s">
        <v>201</v>
      </c>
      <c r="D43" s="6" t="s">
        <v>202</v>
      </c>
      <c r="E43" s="6"/>
      <c r="F43" s="6"/>
      <c r="G43" s="6"/>
    </row>
    <row r="46" spans="2:7" s="8" customFormat="1" x14ac:dyDescent="0.2">
      <c r="B46" s="8" t="s">
        <v>60</v>
      </c>
    </row>
    <row r="48" spans="2:7" x14ac:dyDescent="0.2">
      <c r="B48" s="20" t="s">
        <v>61</v>
      </c>
    </row>
    <row r="49" spans="2:2" x14ac:dyDescent="0.2">
      <c r="B49" s="20" t="s">
        <v>57</v>
      </c>
    </row>
    <row r="50" spans="2:2" x14ac:dyDescent="0.2">
      <c r="B50" s="20"/>
    </row>
    <row r="55" spans="2:2" x14ac:dyDescent="0.2">
      <c r="B55" s="4" t="s">
        <v>65</v>
      </c>
    </row>
  </sheetData>
  <hyperlinks>
    <hyperlink ref="E12" r:id="rId1" location="/CBS/nl/dataset/84046NED/table" xr:uid="{B6E013E3-D49D-4230-9F8E-B05E3BE70F5A}"/>
    <hyperlink ref="E13" r:id="rId2" xr:uid="{81681D7D-E0D5-4EF7-B11B-7F24912F5EFE}"/>
    <hyperlink ref="E14" r:id="rId3" xr:uid="{AC37700C-DD87-479B-BA84-D36F077F5901}"/>
    <hyperlink ref="E16" r:id="rId4" xr:uid="{86A29317-2A05-42E0-8CB5-07FC063BC221}"/>
    <hyperlink ref="E18" r:id="rId5" xr:uid="{8017D5EB-8886-4757-8BFF-CED8A5F4B235}"/>
    <hyperlink ref="E15" r:id="rId6" display="https://www.acm.nl/nl/publicaties/wacc-elektriciteit-en-drinkwater-caribisch-nederland-2020-2022" xr:uid="{9E53D4B3-00F5-4CC1-B5F7-29923A1216B4}"/>
    <hyperlink ref="E17" r:id="rId7" display="https://www.acm.nl/nl/publicaties/methodebesluit-elektriciteit-en-drinkwater-caribisch-nederland-2020-2025" xr:uid="{DA3071CA-E4D4-41E0-BA34-903F74FDC40D}"/>
    <hyperlink ref="E21" r:id="rId8" display="https://www.acm.nl/nl/publicaties/beschikking-variabel-tarief-elektriciteit-1-juli-2023-st-eustatius" xr:uid="{5C4319A0-6B70-46B2-BB31-0F4D8489F16F}"/>
    <hyperlink ref="E19" r:id="rId9" display="https://www.acm.nl/nl/publicaties/beschikking-variabel-tarief-elektriciteit-1-juli-2022-st-eustatius-caribisch-nederland" xr:uid="{CDB62F5B-C008-40A0-8074-C74E4CF21A61}"/>
  </hyperlinks>
  <pageMargins left="0.75" right="0.75" top="1" bottom="1" header="0.5" footer="0.5"/>
  <pageSetup paperSize="9" orientation="portrait" r:id="rId10"/>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CCFFFF"/>
  </sheetPr>
  <dimension ref="B2:L67"/>
  <sheetViews>
    <sheetView showGridLines="0" zoomScale="85" zoomScaleNormal="85" workbookViewId="0">
      <pane xSplit="6" ySplit="9" topLeftCell="G10" activePane="bottomRight" state="frozen"/>
      <selection activeCell="O39" sqref="O39"/>
      <selection pane="topRight" activeCell="O39" sqref="O39"/>
      <selection pane="bottomLeft" activeCell="O39" sqref="O39"/>
      <selection pane="bottomRight" activeCell="G10" sqref="G10"/>
    </sheetView>
  </sheetViews>
  <sheetFormatPr defaultColWidth="9.140625" defaultRowHeight="12.75" x14ac:dyDescent="0.2"/>
  <cols>
    <col min="1" max="1" width="5.7109375" style="2" customWidth="1"/>
    <col min="2" max="2" width="62.28515625" style="2" customWidth="1"/>
    <col min="3" max="5" width="5.7109375" style="2" customWidth="1"/>
    <col min="6" max="6" width="24.28515625" style="2" customWidth="1"/>
    <col min="7" max="7" width="2.7109375" style="2" customWidth="1"/>
    <col min="8" max="8" width="15.5703125" style="2" customWidth="1"/>
    <col min="9" max="9" width="2.7109375" style="2" customWidth="1"/>
    <col min="10" max="10" width="28.7109375" style="2" customWidth="1"/>
    <col min="11" max="11" width="2.7109375" style="2" customWidth="1"/>
    <col min="12" max="12" width="51.28515625" style="2" customWidth="1"/>
    <col min="13" max="21" width="12.5703125" style="2" customWidth="1"/>
    <col min="22" max="24" width="2.7109375" style="2" customWidth="1"/>
    <col min="25" max="25" width="30.85546875" style="2" customWidth="1"/>
    <col min="26" max="39" width="13.7109375" style="2" customWidth="1"/>
    <col min="40" max="16384" width="9.140625" style="2"/>
  </cols>
  <sheetData>
    <row r="2" spans="2:12" s="12" customFormat="1" ht="18" x14ac:dyDescent="0.2">
      <c r="B2" s="12" t="s">
        <v>22</v>
      </c>
    </row>
    <row r="4" spans="2:12" x14ac:dyDescent="0.2">
      <c r="B4" s="19" t="s">
        <v>12</v>
      </c>
      <c r="C4" s="1"/>
      <c r="D4" s="1"/>
    </row>
    <row r="5" spans="2:12" x14ac:dyDescent="0.2">
      <c r="B5" s="2" t="s">
        <v>589</v>
      </c>
      <c r="C5" s="3"/>
      <c r="D5" s="3"/>
      <c r="H5" s="13"/>
    </row>
    <row r="6" spans="2:12" x14ac:dyDescent="0.2">
      <c r="C6" s="3"/>
      <c r="D6" s="3"/>
      <c r="H6" s="13"/>
    </row>
    <row r="8" spans="2:12" s="8" customFormat="1" x14ac:dyDescent="0.2">
      <c r="B8" s="8" t="s">
        <v>12</v>
      </c>
      <c r="F8" s="8" t="s">
        <v>36</v>
      </c>
      <c r="H8" s="8" t="s">
        <v>37</v>
      </c>
      <c r="J8" s="8" t="s">
        <v>215</v>
      </c>
      <c r="L8" s="8" t="s">
        <v>39</v>
      </c>
    </row>
    <row r="11" spans="2:12" s="8" customFormat="1" x14ac:dyDescent="0.2">
      <c r="B11" s="8" t="s">
        <v>255</v>
      </c>
    </row>
    <row r="13" spans="2:12" ht="12.75" customHeight="1" x14ac:dyDescent="0.2">
      <c r="B13" s="1" t="s">
        <v>216</v>
      </c>
    </row>
    <row r="14" spans="2:12" ht="12.75" customHeight="1" x14ac:dyDescent="0.2">
      <c r="B14" s="2" t="s">
        <v>217</v>
      </c>
      <c r="F14" s="2" t="s">
        <v>218</v>
      </c>
      <c r="H14" s="73">
        <f>'Electricity Production'!L32</f>
        <v>0.24319538905379626</v>
      </c>
      <c r="J14" s="2" t="s">
        <v>222</v>
      </c>
    </row>
    <row r="15" spans="2:12" ht="12.75" customHeight="1" x14ac:dyDescent="0.2">
      <c r="B15" s="2" t="s">
        <v>300</v>
      </c>
      <c r="H15" s="73">
        <f>'Electricity Production'!L33</f>
        <v>0.14024042237737816</v>
      </c>
    </row>
    <row r="16" spans="2:12" ht="12.75" customHeight="1" x14ac:dyDescent="0.2">
      <c r="B16" s="2" t="s">
        <v>219</v>
      </c>
      <c r="F16" s="2" t="s">
        <v>218</v>
      </c>
      <c r="H16" s="73">
        <f>'Electricity Production'!L34</f>
        <v>0.38343581143117444</v>
      </c>
      <c r="J16" s="2" t="s">
        <v>222</v>
      </c>
    </row>
    <row r="18" spans="2:10" x14ac:dyDescent="0.2">
      <c r="B18" s="1" t="s">
        <v>220</v>
      </c>
    </row>
    <row r="19" spans="2:10" ht="12.75" customHeight="1" x14ac:dyDescent="0.2">
      <c r="B19" s="2" t="s">
        <v>220</v>
      </c>
      <c r="F19" s="2" t="s">
        <v>218</v>
      </c>
      <c r="H19" s="73">
        <f>'Electricity Distribution'!M67</f>
        <v>0.39580820458766236</v>
      </c>
      <c r="J19" s="2" t="s">
        <v>221</v>
      </c>
    </row>
    <row r="20" spans="2:10" x14ac:dyDescent="0.2">
      <c r="B20" s="5"/>
    </row>
    <row r="21" spans="2:10" x14ac:dyDescent="0.2">
      <c r="B21" s="19" t="s">
        <v>223</v>
      </c>
    </row>
    <row r="22" spans="2:10" x14ac:dyDescent="0.2">
      <c r="B22" s="16" t="s">
        <v>225</v>
      </c>
      <c r="F22" s="2" t="s">
        <v>224</v>
      </c>
      <c r="H22" s="75">
        <f>'Electricity Distribution'!M77</f>
        <v>12.286370954998311</v>
      </c>
      <c r="J22" s="2" t="s">
        <v>222</v>
      </c>
    </row>
    <row r="23" spans="2:10" x14ac:dyDescent="0.2">
      <c r="B23" s="16" t="s">
        <v>226</v>
      </c>
      <c r="F23" s="2" t="s">
        <v>224</v>
      </c>
      <c r="H23" s="75">
        <f>'Electricity Distribution'!M78</f>
        <v>29.564080110464687</v>
      </c>
      <c r="J23" s="2" t="s">
        <v>222</v>
      </c>
    </row>
    <row r="24" spans="2:10" x14ac:dyDescent="0.2">
      <c r="B24" s="16" t="s">
        <v>230</v>
      </c>
      <c r="F24" s="2" t="s">
        <v>224</v>
      </c>
      <c r="H24" s="75">
        <f>'Electricity Distribution'!M79</f>
        <v>42.234400157806697</v>
      </c>
      <c r="J24" s="2" t="s">
        <v>222</v>
      </c>
    </row>
    <row r="25" spans="2:10" x14ac:dyDescent="0.2">
      <c r="B25" s="16" t="s">
        <v>233</v>
      </c>
      <c r="F25" s="2" t="s">
        <v>224</v>
      </c>
      <c r="H25" s="75">
        <f>'Electricity Distribution'!M80</f>
        <v>53.215344198836434</v>
      </c>
      <c r="J25" s="2" t="s">
        <v>222</v>
      </c>
    </row>
    <row r="26" spans="2:10" x14ac:dyDescent="0.2">
      <c r="B26" s="16" t="s">
        <v>227</v>
      </c>
      <c r="F26" s="2" t="s">
        <v>224</v>
      </c>
      <c r="H26" s="75">
        <f>'Electricity Distribution'!M81</f>
        <v>51.065229281711737</v>
      </c>
      <c r="J26" s="2" t="s">
        <v>222</v>
      </c>
    </row>
    <row r="27" spans="2:10" x14ac:dyDescent="0.2">
      <c r="B27" s="16" t="s">
        <v>231</v>
      </c>
      <c r="F27" s="2" t="s">
        <v>224</v>
      </c>
      <c r="H27" s="75">
        <f>'Electricity Distribution'!M82</f>
        <v>72.950327545302471</v>
      </c>
      <c r="J27" s="2" t="s">
        <v>222</v>
      </c>
    </row>
    <row r="28" spans="2:10" x14ac:dyDescent="0.2">
      <c r="B28" s="16" t="s">
        <v>234</v>
      </c>
      <c r="F28" s="2" t="s">
        <v>224</v>
      </c>
      <c r="H28" s="75">
        <f>'Electricity Distribution'!M83</f>
        <v>91.917412707081127</v>
      </c>
      <c r="J28" s="2" t="s">
        <v>222</v>
      </c>
    </row>
    <row r="29" spans="2:10" x14ac:dyDescent="0.2">
      <c r="B29" s="16" t="s">
        <v>228</v>
      </c>
      <c r="F29" s="2" t="s">
        <v>224</v>
      </c>
      <c r="H29" s="75">
        <f>'Electricity Distribution'!M84</f>
        <v>116.72052407248395</v>
      </c>
      <c r="J29" s="2" t="s">
        <v>222</v>
      </c>
    </row>
    <row r="30" spans="2:10" x14ac:dyDescent="0.2">
      <c r="B30" s="16" t="s">
        <v>229</v>
      </c>
      <c r="F30" s="2" t="s">
        <v>224</v>
      </c>
      <c r="H30" s="75">
        <f>'Electricity Distribution'!M85</f>
        <v>145.90065509060494</v>
      </c>
      <c r="J30" s="2" t="s">
        <v>222</v>
      </c>
    </row>
    <row r="31" spans="2:10" x14ac:dyDescent="0.2">
      <c r="B31" s="16" t="s">
        <v>232</v>
      </c>
      <c r="F31" s="2" t="s">
        <v>224</v>
      </c>
      <c r="H31" s="75">
        <f>'Electricity Distribution'!M86</f>
        <v>182.37581886325617</v>
      </c>
      <c r="J31" s="2" t="s">
        <v>222</v>
      </c>
    </row>
    <row r="32" spans="2:10" x14ac:dyDescent="0.2">
      <c r="B32" s="76" t="s">
        <v>235</v>
      </c>
      <c r="F32" s="2" t="s">
        <v>224</v>
      </c>
      <c r="H32" s="75">
        <f>'Electricity Distribution'!M87</f>
        <v>233.44104814496791</v>
      </c>
      <c r="J32" s="2" t="s">
        <v>222</v>
      </c>
    </row>
    <row r="33" spans="2:12" x14ac:dyDescent="0.2">
      <c r="B33" s="76" t="s">
        <v>244</v>
      </c>
      <c r="F33" s="2" t="s">
        <v>224</v>
      </c>
      <c r="H33" s="75">
        <f>'Electricity Distribution'!M88</f>
        <v>291.80131018120989</v>
      </c>
      <c r="J33" s="2" t="s">
        <v>222</v>
      </c>
    </row>
    <row r="34" spans="2:12" x14ac:dyDescent="0.2">
      <c r="B34" s="76" t="s">
        <v>236</v>
      </c>
      <c r="F34" s="2" t="s">
        <v>224</v>
      </c>
      <c r="H34" s="75">
        <f>'Electricity Distribution'!M89</f>
        <v>328.27647395386111</v>
      </c>
      <c r="J34" s="2" t="s">
        <v>222</v>
      </c>
    </row>
    <row r="35" spans="2:12" x14ac:dyDescent="0.2">
      <c r="B35" s="76" t="s">
        <v>243</v>
      </c>
      <c r="F35" s="2" t="s">
        <v>224</v>
      </c>
      <c r="H35" s="75">
        <f>'Electricity Distribution'!M90</f>
        <v>364.75163772651234</v>
      </c>
      <c r="J35" s="2" t="s">
        <v>222</v>
      </c>
    </row>
    <row r="36" spans="2:12" x14ac:dyDescent="0.2">
      <c r="B36" s="76" t="s">
        <v>237</v>
      </c>
      <c r="F36" s="2" t="s">
        <v>224</v>
      </c>
      <c r="H36" s="75">
        <f>'Electricity Distribution'!M91</f>
        <v>459.5870635354056</v>
      </c>
      <c r="J36" s="2" t="s">
        <v>222</v>
      </c>
    </row>
    <row r="37" spans="2:12" x14ac:dyDescent="0.2">
      <c r="B37" s="76" t="s">
        <v>242</v>
      </c>
      <c r="F37" s="2" t="s">
        <v>224</v>
      </c>
      <c r="H37" s="75">
        <f>'Electricity Distribution'!M92</f>
        <v>671.91091160147016</v>
      </c>
      <c r="J37" s="2" t="s">
        <v>222</v>
      </c>
    </row>
    <row r="38" spans="2:12" x14ac:dyDescent="0.2">
      <c r="B38" s="76" t="s">
        <v>490</v>
      </c>
      <c r="F38" s="2" t="s">
        <v>224</v>
      </c>
      <c r="H38" s="75">
        <f>'Electricity Distribution'!M93</f>
        <v>767.89818468739441</v>
      </c>
      <c r="J38" s="2" t="s">
        <v>222</v>
      </c>
    </row>
    <row r="40" spans="2:12" x14ac:dyDescent="0.2">
      <c r="B40" s="19" t="s">
        <v>238</v>
      </c>
    </row>
    <row r="41" spans="2:12" x14ac:dyDescent="0.2">
      <c r="B41" s="2" t="s">
        <v>238</v>
      </c>
      <c r="F41" s="2" t="s">
        <v>205</v>
      </c>
      <c r="H41" s="75">
        <f>'Electricity Distribution'!M98</f>
        <v>40</v>
      </c>
      <c r="J41" s="2" t="s">
        <v>222</v>
      </c>
      <c r="L41" s="2" t="s">
        <v>241</v>
      </c>
    </row>
    <row r="43" spans="2:12" x14ac:dyDescent="0.2">
      <c r="B43" s="1" t="s">
        <v>239</v>
      </c>
    </row>
    <row r="44" spans="2:12" x14ac:dyDescent="0.2">
      <c r="B44" s="2" t="s">
        <v>240</v>
      </c>
      <c r="F44" s="2" t="s">
        <v>205</v>
      </c>
      <c r="H44" s="75">
        <f>'Electricity Distribution'!M101</f>
        <v>305.43662127586322</v>
      </c>
      <c r="J44" s="2" t="s">
        <v>222</v>
      </c>
    </row>
    <row r="45" spans="2:12" x14ac:dyDescent="0.2">
      <c r="B45" s="2" t="s">
        <v>158</v>
      </c>
      <c r="F45" s="2" t="s">
        <v>205</v>
      </c>
      <c r="H45" s="75">
        <f>'Electricity Distribution'!M102</f>
        <v>189.55349078801981</v>
      </c>
      <c r="J45" s="2" t="s">
        <v>222</v>
      </c>
    </row>
    <row r="46" spans="2:12" x14ac:dyDescent="0.2">
      <c r="B46" s="2" t="s">
        <v>159</v>
      </c>
      <c r="F46" s="2" t="s">
        <v>205</v>
      </c>
      <c r="H46" s="75">
        <f>'Electricity Distribution'!M103</f>
        <v>205.78594305755018</v>
      </c>
      <c r="J46" s="2" t="s">
        <v>222</v>
      </c>
    </row>
    <row r="48" spans="2:12" s="8" customFormat="1" x14ac:dyDescent="0.2">
      <c r="B48" s="8" t="s">
        <v>256</v>
      </c>
    </row>
    <row r="50" spans="2:12" x14ac:dyDescent="0.2">
      <c r="B50" s="1" t="s">
        <v>216</v>
      </c>
    </row>
    <row r="51" spans="2:12" x14ac:dyDescent="0.2">
      <c r="B51" s="2" t="s">
        <v>245</v>
      </c>
      <c r="F51" s="2" t="s">
        <v>246</v>
      </c>
      <c r="H51" s="77">
        <f>'Water Production'!N40</f>
        <v>5.5023984424735932</v>
      </c>
      <c r="J51" s="2" t="s">
        <v>222</v>
      </c>
    </row>
    <row r="53" spans="2:12" x14ac:dyDescent="0.2">
      <c r="B53" s="1" t="s">
        <v>220</v>
      </c>
    </row>
    <row r="54" spans="2:12" x14ac:dyDescent="0.2">
      <c r="B54" s="2" t="s">
        <v>247</v>
      </c>
      <c r="F54" s="2" t="s">
        <v>246</v>
      </c>
      <c r="H54" s="73">
        <f>'Water Distribution'!O44</f>
        <v>8.2902016236452258</v>
      </c>
      <c r="J54" s="2" t="s">
        <v>222</v>
      </c>
    </row>
    <row r="56" spans="2:12" x14ac:dyDescent="0.2">
      <c r="B56" s="1" t="s">
        <v>248</v>
      </c>
    </row>
    <row r="57" spans="2:12" x14ac:dyDescent="0.2">
      <c r="B57" s="2" t="s">
        <v>248</v>
      </c>
      <c r="F57" s="2" t="s">
        <v>224</v>
      </c>
      <c r="H57" s="78">
        <f>'Water Distribution'!O50</f>
        <v>95.389770046420324</v>
      </c>
      <c r="J57" s="2" t="s">
        <v>222</v>
      </c>
    </row>
    <row r="59" spans="2:12" x14ac:dyDescent="0.2">
      <c r="B59" s="1" t="s">
        <v>249</v>
      </c>
    </row>
    <row r="60" spans="2:12" x14ac:dyDescent="0.2">
      <c r="B60" s="2" t="s">
        <v>238</v>
      </c>
      <c r="F60" s="2" t="s">
        <v>205</v>
      </c>
      <c r="H60" s="79">
        <f>'Water Distribution'!O53</f>
        <v>40</v>
      </c>
      <c r="J60" s="2" t="s">
        <v>222</v>
      </c>
      <c r="L60" s="2" t="s">
        <v>241</v>
      </c>
    </row>
    <row r="62" spans="2:12" x14ac:dyDescent="0.2">
      <c r="B62" s="1" t="s">
        <v>250</v>
      </c>
    </row>
    <row r="63" spans="2:12" x14ac:dyDescent="0.2">
      <c r="B63" s="2" t="s">
        <v>251</v>
      </c>
      <c r="F63" s="2" t="s">
        <v>205</v>
      </c>
      <c r="H63" s="79">
        <f>'Water Distribution'!O56</f>
        <v>272.94023816097268</v>
      </c>
      <c r="J63" s="2" t="s">
        <v>222</v>
      </c>
    </row>
    <row r="64" spans="2:12" x14ac:dyDescent="0.2">
      <c r="B64" s="2" t="s">
        <v>252</v>
      </c>
      <c r="F64" s="2" t="s">
        <v>205</v>
      </c>
      <c r="H64" s="79">
        <f>'Water Distribution'!O57</f>
        <v>189.55349078801981</v>
      </c>
      <c r="J64" s="2" t="s">
        <v>222</v>
      </c>
    </row>
    <row r="66" spans="2:10" x14ac:dyDescent="0.2">
      <c r="B66" s="1" t="s">
        <v>253</v>
      </c>
    </row>
    <row r="67" spans="2:10" x14ac:dyDescent="0.2">
      <c r="B67" s="2" t="s">
        <v>254</v>
      </c>
      <c r="F67" s="2" t="s">
        <v>246</v>
      </c>
      <c r="H67" s="128">
        <f>'Water Distribution'!P65</f>
        <v>9.8362478495661279</v>
      </c>
      <c r="J67" s="2" t="s">
        <v>222</v>
      </c>
    </row>
  </sheetData>
  <phoneticPr fontId="31" type="noConversion"/>
  <pageMargins left="0.7" right="0.7" top="0.75" bottom="0.75" header="0.3" footer="0.3"/>
  <pageSetup paperSize="9" orientation="portrait" r:id="rId1"/>
  <ignoredErrors>
    <ignoredError sqref="B22:B31 B34 B36 B32 B33 B37:B38 B35"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0" tint="-4.9989318521683403E-2"/>
  </sheetPr>
  <dimension ref="B2:B8"/>
  <sheetViews>
    <sheetView showGridLines="0" zoomScale="85" zoomScaleNormal="85" workbookViewId="0">
      <selection activeCell="L54" sqref="L54"/>
    </sheetView>
  </sheetViews>
  <sheetFormatPr defaultColWidth="9.140625" defaultRowHeight="12.75" x14ac:dyDescent="0.2"/>
  <cols>
    <col min="1" max="16384" width="9.140625" style="14"/>
  </cols>
  <sheetData>
    <row r="2" spans="2:2" x14ac:dyDescent="0.2">
      <c r="B2" s="33" t="s">
        <v>203</v>
      </c>
    </row>
    <row r="3" spans="2:2" x14ac:dyDescent="0.2">
      <c r="B3" s="33"/>
    </row>
    <row r="7" spans="2:2" x14ac:dyDescent="0.2">
      <c r="B7" s="33"/>
    </row>
    <row r="8" spans="2:2" x14ac:dyDescent="0.2">
      <c r="B8" s="33"/>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E1FFE1"/>
  </sheetPr>
  <dimension ref="B2:N49"/>
  <sheetViews>
    <sheetView showGridLines="0" zoomScale="85" zoomScaleNormal="85" workbookViewId="0">
      <pane xSplit="6" ySplit="14" topLeftCell="G15" activePane="bottomRight" state="frozen"/>
      <selection activeCell="R6" sqref="R6"/>
      <selection pane="topRight" activeCell="R6" sqref="R6"/>
      <selection pane="bottomLeft" activeCell="R6" sqref="R6"/>
      <selection pane="bottomRight" activeCell="G15" sqref="G15"/>
    </sheetView>
  </sheetViews>
  <sheetFormatPr defaultColWidth="9.140625" defaultRowHeight="12.75" x14ac:dyDescent="0.2"/>
  <cols>
    <col min="1" max="1" width="4" style="2" customWidth="1"/>
    <col min="2" max="2" width="41.42578125" style="2" customWidth="1"/>
    <col min="3" max="5" width="4.5703125" style="2" customWidth="1"/>
    <col min="6" max="6" width="13.7109375" style="2" customWidth="1"/>
    <col min="7" max="7" width="2.7109375" style="2" customWidth="1"/>
    <col min="8" max="8" width="13.7109375" style="2" customWidth="1"/>
    <col min="9" max="9" width="2.7109375" style="2" customWidth="1"/>
    <col min="10" max="10" width="13.7109375" style="2" customWidth="1"/>
    <col min="11" max="11" width="2.7109375" style="2" customWidth="1"/>
    <col min="12" max="12" width="59.42578125" style="2" customWidth="1"/>
    <col min="13" max="13" width="2.7109375" style="2" customWidth="1"/>
    <col min="14" max="14" width="47" style="2" customWidth="1"/>
    <col min="15" max="15" width="2.7109375" style="2" customWidth="1"/>
    <col min="16" max="30" width="13.7109375" style="2" customWidth="1"/>
    <col min="31" max="16384" width="9.140625" style="2"/>
  </cols>
  <sheetData>
    <row r="2" spans="2:14" s="12" customFormat="1" ht="18" x14ac:dyDescent="0.2">
      <c r="B2" s="12" t="s">
        <v>67</v>
      </c>
    </row>
    <row r="4" spans="2:14" x14ac:dyDescent="0.2">
      <c r="B4" s="19" t="s">
        <v>68</v>
      </c>
      <c r="C4" s="1"/>
      <c r="D4" s="1"/>
    </row>
    <row r="5" spans="2:14" x14ac:dyDescent="0.2">
      <c r="B5" s="2" t="s">
        <v>552</v>
      </c>
      <c r="H5" s="13"/>
    </row>
    <row r="6" spans="2:14" x14ac:dyDescent="0.2">
      <c r="H6" s="13"/>
    </row>
    <row r="7" spans="2:14" x14ac:dyDescent="0.2">
      <c r="B7" s="20" t="s">
        <v>69</v>
      </c>
      <c r="H7" s="13"/>
    </row>
    <row r="8" spans="2:14" x14ac:dyDescent="0.2">
      <c r="B8" s="2" t="s">
        <v>70</v>
      </c>
    </row>
    <row r="9" spans="2:14" x14ac:dyDescent="0.2">
      <c r="B9" s="2" t="s">
        <v>71</v>
      </c>
    </row>
    <row r="11" spans="2:14" x14ac:dyDescent="0.2">
      <c r="B11" s="4" t="s">
        <v>551</v>
      </c>
    </row>
    <row r="13" spans="2:14" s="8" customFormat="1" x14ac:dyDescent="0.2">
      <c r="B13" s="8" t="s">
        <v>12</v>
      </c>
      <c r="F13" s="8" t="s">
        <v>36</v>
      </c>
      <c r="H13" s="8" t="s">
        <v>37</v>
      </c>
      <c r="J13" s="8" t="s">
        <v>38</v>
      </c>
      <c r="L13" s="8" t="s">
        <v>40</v>
      </c>
      <c r="N13" s="8" t="s">
        <v>39</v>
      </c>
    </row>
    <row r="16" spans="2:14" s="8" customFormat="1" x14ac:dyDescent="0.2">
      <c r="B16" s="8" t="s">
        <v>77</v>
      </c>
    </row>
    <row r="18" spans="2:14" x14ac:dyDescent="0.2">
      <c r="B18" s="1" t="s">
        <v>78</v>
      </c>
    </row>
    <row r="19" spans="2:14" x14ac:dyDescent="0.2">
      <c r="B19" s="2" t="s">
        <v>79</v>
      </c>
      <c r="F19" s="2" t="s">
        <v>553</v>
      </c>
      <c r="H19" s="35">
        <v>98.82</v>
      </c>
      <c r="L19" s="2" t="s">
        <v>80</v>
      </c>
    </row>
    <row r="20" spans="2:14" x14ac:dyDescent="0.2">
      <c r="B20" s="2" t="s">
        <v>81</v>
      </c>
      <c r="F20" s="2" t="s">
        <v>553</v>
      </c>
      <c r="H20" s="35">
        <v>101.21</v>
      </c>
    </row>
    <row r="21" spans="2:14" x14ac:dyDescent="0.2">
      <c r="B21" s="2" t="s">
        <v>82</v>
      </c>
      <c r="F21" s="2" t="s">
        <v>553</v>
      </c>
      <c r="H21" s="35">
        <v>110.34</v>
      </c>
    </row>
    <row r="23" spans="2:14" x14ac:dyDescent="0.2">
      <c r="B23" s="2" t="s">
        <v>83</v>
      </c>
      <c r="F23" s="2" t="s">
        <v>553</v>
      </c>
      <c r="H23" s="35">
        <v>101.21</v>
      </c>
      <c r="L23" s="2" t="s">
        <v>84</v>
      </c>
    </row>
    <row r="24" spans="2:14" x14ac:dyDescent="0.2">
      <c r="B24" s="2" t="s">
        <v>85</v>
      </c>
      <c r="F24" s="2" t="s">
        <v>553</v>
      </c>
      <c r="H24" s="36">
        <f>H23*(H20/H19)</f>
        <v>103.65780307630034</v>
      </c>
    </row>
    <row r="26" spans="2:14" x14ac:dyDescent="0.2">
      <c r="B26" s="1" t="s">
        <v>86</v>
      </c>
    </row>
    <row r="27" spans="2:14" x14ac:dyDescent="0.2">
      <c r="B27" s="2" t="s">
        <v>87</v>
      </c>
      <c r="F27" s="2" t="s">
        <v>88</v>
      </c>
      <c r="H27" s="37">
        <f>ROUND(H21/H24-1,3)</f>
        <v>6.4000000000000001E-2</v>
      </c>
      <c r="N27" s="2" t="s">
        <v>89</v>
      </c>
    </row>
    <row r="28" spans="2:14" x14ac:dyDescent="0.2">
      <c r="B28" s="2" t="s">
        <v>90</v>
      </c>
      <c r="F28" s="2" t="s">
        <v>88</v>
      </c>
      <c r="H28" s="38">
        <v>-1.0999999999999999E-2</v>
      </c>
      <c r="L28" s="2" t="s">
        <v>180</v>
      </c>
    </row>
    <row r="30" spans="2:14" s="39" customFormat="1" x14ac:dyDescent="0.2">
      <c r="B30" s="39" t="s">
        <v>93</v>
      </c>
    </row>
    <row r="32" spans="2:14" x14ac:dyDescent="0.2">
      <c r="B32" s="2" t="s">
        <v>94</v>
      </c>
      <c r="F32" s="2" t="s">
        <v>88</v>
      </c>
      <c r="H32" s="38">
        <v>0.03</v>
      </c>
      <c r="L32" s="2" t="s">
        <v>95</v>
      </c>
    </row>
    <row r="34" spans="2:14" x14ac:dyDescent="0.2">
      <c r="B34" s="2" t="s">
        <v>96</v>
      </c>
      <c r="F34" s="2" t="s">
        <v>88</v>
      </c>
      <c r="H34" s="37">
        <f>((1+$H$32)^2)-1</f>
        <v>6.0899999999999954E-2</v>
      </c>
    </row>
    <row r="35" spans="2:14" x14ac:dyDescent="0.2">
      <c r="B35" s="2" t="s">
        <v>97</v>
      </c>
      <c r="F35" s="2" t="s">
        <v>88</v>
      </c>
      <c r="H35" s="37">
        <f>(1+$H$32)-1</f>
        <v>3.0000000000000027E-2</v>
      </c>
    </row>
    <row r="37" spans="2:14" s="8" customFormat="1" x14ac:dyDescent="0.2">
      <c r="B37" s="8" t="s">
        <v>91</v>
      </c>
    </row>
    <row r="39" spans="2:14" x14ac:dyDescent="0.2">
      <c r="B39" s="2" t="s">
        <v>336</v>
      </c>
      <c r="H39" s="38">
        <v>5.9700000000000003E-2</v>
      </c>
      <c r="L39" s="2" t="s">
        <v>337</v>
      </c>
    </row>
    <row r="40" spans="2:14" x14ac:dyDescent="0.2">
      <c r="B40" s="2" t="s">
        <v>434</v>
      </c>
      <c r="F40" s="2" t="s">
        <v>88</v>
      </c>
      <c r="H40" s="38">
        <v>6.4600000000000005E-2</v>
      </c>
      <c r="J40" s="100"/>
      <c r="L40" s="2" t="s">
        <v>92</v>
      </c>
    </row>
    <row r="41" spans="2:14" x14ac:dyDescent="0.2">
      <c r="B41" s="2" t="s">
        <v>435</v>
      </c>
      <c r="F41" s="2" t="s">
        <v>88</v>
      </c>
      <c r="H41" s="38">
        <v>5.7200000000000001E-2</v>
      </c>
      <c r="J41" s="100"/>
      <c r="L41" s="2" t="s">
        <v>92</v>
      </c>
    </row>
    <row r="42" spans="2:14" x14ac:dyDescent="0.2">
      <c r="B42" s="2" t="s">
        <v>436</v>
      </c>
      <c r="F42" s="2" t="s">
        <v>88</v>
      </c>
      <c r="H42" s="38">
        <v>6.3799999999999996E-2</v>
      </c>
      <c r="J42" s="100"/>
      <c r="L42" s="2" t="s">
        <v>92</v>
      </c>
    </row>
    <row r="44" spans="2:14" s="8" customFormat="1" x14ac:dyDescent="0.2">
      <c r="B44" s="8" t="s">
        <v>501</v>
      </c>
    </row>
    <row r="46" spans="2:14" x14ac:dyDescent="0.2">
      <c r="B46" s="2" t="s">
        <v>501</v>
      </c>
      <c r="F46" s="2" t="s">
        <v>88</v>
      </c>
      <c r="H46" s="40">
        <v>0.5</v>
      </c>
      <c r="L46" s="2" t="s">
        <v>493</v>
      </c>
      <c r="N46" s="18"/>
    </row>
    <row r="49" spans="2:2" x14ac:dyDescent="0.2">
      <c r="B49" s="4" t="s">
        <v>65</v>
      </c>
    </row>
  </sheetData>
  <phoneticPr fontId="31" type="noConversion"/>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D0E7D0-41A9-48CA-B566-7241761DC35D}">
  <sheetPr>
    <tabColor rgb="FFE1FFE1"/>
  </sheetPr>
  <dimension ref="A2:T65"/>
  <sheetViews>
    <sheetView showGridLines="0" zoomScale="85" zoomScaleNormal="85" workbookViewId="0">
      <pane xSplit="6" ySplit="9" topLeftCell="G10" activePane="bottomRight" state="frozen"/>
      <selection activeCell="R6" sqref="R6"/>
      <selection pane="topRight" activeCell="R6" sqref="R6"/>
      <selection pane="bottomLeft" activeCell="R6" sqref="R6"/>
      <selection pane="bottomRight" activeCell="G10" sqref="G10"/>
    </sheetView>
  </sheetViews>
  <sheetFormatPr defaultColWidth="9.140625" defaultRowHeight="12.75" x14ac:dyDescent="0.2"/>
  <cols>
    <col min="1" max="1" width="4" style="2" customWidth="1"/>
    <col min="2" max="2" width="41.42578125" style="2" customWidth="1"/>
    <col min="3" max="5" width="4.5703125" style="2" customWidth="1"/>
    <col min="6" max="6" width="13.7109375" style="2" customWidth="1"/>
    <col min="7" max="7" width="2.7109375" style="2" customWidth="1"/>
    <col min="8" max="8" width="13.7109375" style="2" customWidth="1"/>
    <col min="9" max="9" width="2.7109375" style="2" customWidth="1"/>
    <col min="10" max="10" width="13.7109375" style="2" customWidth="1"/>
    <col min="11" max="11" width="2.7109375" style="2" customWidth="1"/>
    <col min="12" max="16" width="21.7109375" style="2" customWidth="1"/>
    <col min="17" max="17" width="2.7109375" style="2" customWidth="1"/>
    <col min="18" max="18" width="40.140625" style="2" customWidth="1"/>
    <col min="19" max="19" width="5.5703125" style="2" customWidth="1"/>
    <col min="20" max="20" width="13.7109375" style="2" customWidth="1"/>
    <col min="21" max="21" width="2.7109375" style="2" customWidth="1"/>
    <col min="22" max="36" width="13.7109375" style="2" customWidth="1"/>
    <col min="37" max="16384" width="9.140625" style="2"/>
  </cols>
  <sheetData>
    <row r="2" spans="2:20" s="12" customFormat="1" ht="18" x14ac:dyDescent="0.2">
      <c r="B2" s="12" t="s">
        <v>460</v>
      </c>
    </row>
    <row r="4" spans="2:20" x14ac:dyDescent="0.2">
      <c r="B4" s="1" t="s">
        <v>102</v>
      </c>
      <c r="C4" s="1"/>
      <c r="D4" s="1"/>
    </row>
    <row r="5" spans="2:20" x14ac:dyDescent="0.2">
      <c r="B5" s="2" t="s">
        <v>554</v>
      </c>
      <c r="D5" s="3"/>
      <c r="H5" s="13"/>
    </row>
    <row r="6" spans="2:20" x14ac:dyDescent="0.2">
      <c r="D6" s="3"/>
      <c r="H6" s="13"/>
    </row>
    <row r="8" spans="2:20" s="8" customFormat="1" x14ac:dyDescent="0.2">
      <c r="B8" s="8" t="s">
        <v>103</v>
      </c>
      <c r="F8" s="8" t="s">
        <v>104</v>
      </c>
      <c r="H8" s="8" t="s">
        <v>105</v>
      </c>
      <c r="J8" s="8" t="s">
        <v>106</v>
      </c>
      <c r="L8" s="8" t="s">
        <v>72</v>
      </c>
      <c r="M8" s="8" t="s">
        <v>73</v>
      </c>
      <c r="N8" s="8" t="s">
        <v>74</v>
      </c>
      <c r="O8" s="8" t="s">
        <v>75</v>
      </c>
      <c r="P8" s="8" t="s">
        <v>76</v>
      </c>
      <c r="R8" s="8" t="s">
        <v>40</v>
      </c>
      <c r="T8" s="8" t="s">
        <v>39</v>
      </c>
    </row>
    <row r="11" spans="2:20" s="8" customFormat="1" x14ac:dyDescent="0.2">
      <c r="B11" s="8" t="s">
        <v>525</v>
      </c>
    </row>
    <row r="13" spans="2:20" x14ac:dyDescent="0.2">
      <c r="B13" s="111" t="s">
        <v>107</v>
      </c>
    </row>
    <row r="14" spans="2:20" x14ac:dyDescent="0.2">
      <c r="B14" s="2" t="s">
        <v>510</v>
      </c>
      <c r="F14" s="2" t="s">
        <v>108</v>
      </c>
      <c r="J14" s="41">
        <f>SUM(L14:P14)</f>
        <v>4489359.1499999994</v>
      </c>
      <c r="L14" s="42">
        <v>2007361.6478045504</v>
      </c>
      <c r="M14" s="42">
        <v>1040667.8730083217</v>
      </c>
      <c r="N14" s="42">
        <v>594864.90738965385</v>
      </c>
      <c r="O14" s="42">
        <v>846464.72179747385</v>
      </c>
      <c r="P14" s="43"/>
      <c r="Q14" s="13"/>
      <c r="R14" s="2" t="s">
        <v>109</v>
      </c>
    </row>
    <row r="15" spans="2:20" x14ac:dyDescent="0.2">
      <c r="B15" s="2" t="s">
        <v>110</v>
      </c>
      <c r="F15" s="2" t="s">
        <v>108</v>
      </c>
      <c r="J15" s="41">
        <f>SUM(L15:P15)</f>
        <v>511397.42999999993</v>
      </c>
      <c r="L15" s="42">
        <v>2926.1146092557124</v>
      </c>
      <c r="M15" s="42">
        <v>439515.27092647104</v>
      </c>
      <c r="N15" s="42">
        <v>-838.2788484082314</v>
      </c>
      <c r="O15" s="42">
        <v>69794.323312681474</v>
      </c>
      <c r="P15" s="43"/>
      <c r="Q15" s="13"/>
      <c r="R15" s="2" t="s">
        <v>111</v>
      </c>
    </row>
    <row r="16" spans="2:20" x14ac:dyDescent="0.2">
      <c r="Q16" s="13"/>
    </row>
    <row r="17" spans="2:20" x14ac:dyDescent="0.2">
      <c r="B17" s="2" t="s">
        <v>509</v>
      </c>
      <c r="F17" s="2" t="s">
        <v>108</v>
      </c>
      <c r="J17" s="41">
        <f>SUM(L17:P17)</f>
        <v>4489359.1499999994</v>
      </c>
      <c r="L17" s="42">
        <v>2007361.6478045504</v>
      </c>
      <c r="M17" s="42">
        <v>1040667.8730083217</v>
      </c>
      <c r="N17" s="42">
        <v>594864.90738965385</v>
      </c>
      <c r="O17" s="42">
        <v>846464.72179747385</v>
      </c>
      <c r="P17" s="43"/>
      <c r="Q17" s="13"/>
      <c r="R17" s="2" t="s">
        <v>512</v>
      </c>
    </row>
    <row r="18" spans="2:20" x14ac:dyDescent="0.2">
      <c r="B18" s="2" t="s">
        <v>511</v>
      </c>
      <c r="F18" s="2" t="s">
        <v>108</v>
      </c>
      <c r="J18" s="41">
        <f>SUM(L18:P18)</f>
        <v>511397.42999999993</v>
      </c>
      <c r="L18" s="42">
        <v>2926.1146092557124</v>
      </c>
      <c r="M18" s="42">
        <v>439515.27092647104</v>
      </c>
      <c r="N18" s="42">
        <v>-838.2788484082314</v>
      </c>
      <c r="O18" s="42">
        <v>69794.323312681474</v>
      </c>
      <c r="P18" s="43"/>
      <c r="Q18" s="13"/>
      <c r="R18" s="2" t="s">
        <v>513</v>
      </c>
    </row>
    <row r="19" spans="2:20" x14ac:dyDescent="0.2">
      <c r="Q19" s="13"/>
      <c r="R19" s="13"/>
    </row>
    <row r="20" spans="2:20" x14ac:dyDescent="0.2">
      <c r="B20" s="111" t="s">
        <v>112</v>
      </c>
      <c r="J20" s="44"/>
      <c r="L20" s="13"/>
      <c r="M20" s="13"/>
      <c r="N20" s="13"/>
      <c r="O20" s="13"/>
      <c r="P20" s="45"/>
      <c r="Q20" s="13"/>
      <c r="R20" s="13"/>
    </row>
    <row r="21" spans="2:20" x14ac:dyDescent="0.2">
      <c r="B21" s="2" t="s">
        <v>113</v>
      </c>
      <c r="F21" s="2" t="s">
        <v>114</v>
      </c>
      <c r="J21" s="41">
        <f>SUM(L21:P21)</f>
        <v>9099251.3823729344</v>
      </c>
      <c r="L21" s="42">
        <v>2807790.6419269913</v>
      </c>
      <c r="M21" s="42">
        <v>2099727.8190321838</v>
      </c>
      <c r="N21" s="42">
        <v>1364182.3299102224</v>
      </c>
      <c r="O21" s="42">
        <v>2826574.5199072561</v>
      </c>
      <c r="P21" s="42">
        <v>976.07159627994554</v>
      </c>
      <c r="Q21" s="13"/>
      <c r="R21" s="2" t="s">
        <v>115</v>
      </c>
      <c r="T21" s="2" t="s">
        <v>116</v>
      </c>
    </row>
    <row r="22" spans="2:20" x14ac:dyDescent="0.2">
      <c r="B22" s="2" t="s">
        <v>117</v>
      </c>
      <c r="F22" s="2" t="s">
        <v>114</v>
      </c>
      <c r="J22" s="41">
        <f>SUM(L22:P22)</f>
        <v>884400.79669051722</v>
      </c>
      <c r="L22" s="42">
        <v>369335.68785139988</v>
      </c>
      <c r="M22" s="42">
        <v>198076.97728293162</v>
      </c>
      <c r="N22" s="42">
        <v>122271.43611731179</v>
      </c>
      <c r="O22" s="42">
        <v>194529.94154355564</v>
      </c>
      <c r="P22" s="42">
        <v>186.75389531827514</v>
      </c>
      <c r="Q22" s="13"/>
      <c r="R22" s="2" t="s">
        <v>118</v>
      </c>
      <c r="T22" s="2" t="s">
        <v>119</v>
      </c>
    </row>
    <row r="24" spans="2:20" x14ac:dyDescent="0.2">
      <c r="B24" s="1" t="s">
        <v>457</v>
      </c>
    </row>
    <row r="25" spans="2:20" x14ac:dyDescent="0.2">
      <c r="B25" s="2" t="s">
        <v>98</v>
      </c>
      <c r="F25" s="2" t="s">
        <v>88</v>
      </c>
      <c r="L25" s="40">
        <v>0.19410125059831115</v>
      </c>
      <c r="M25" s="40">
        <v>0.27580884597893079</v>
      </c>
      <c r="N25" s="40">
        <v>0.12889013723645187</v>
      </c>
      <c r="O25" s="40">
        <v>0.30232576550308171</v>
      </c>
      <c r="P25" s="40">
        <v>0.30232576550308171</v>
      </c>
      <c r="R25" s="2" t="s">
        <v>581</v>
      </c>
      <c r="T25" s="2" t="s">
        <v>99</v>
      </c>
    </row>
    <row r="26" spans="2:20" x14ac:dyDescent="0.2">
      <c r="B26" s="2" t="s">
        <v>100</v>
      </c>
      <c r="F26" s="2" t="s">
        <v>88</v>
      </c>
      <c r="L26" s="40">
        <v>0</v>
      </c>
      <c r="M26" s="40">
        <v>0.5</v>
      </c>
      <c r="N26" s="40">
        <v>0</v>
      </c>
      <c r="O26" s="40">
        <v>0.5</v>
      </c>
      <c r="P26" s="40">
        <v>0.5</v>
      </c>
      <c r="R26" s="2" t="s">
        <v>582</v>
      </c>
      <c r="T26" s="2" t="s">
        <v>101</v>
      </c>
    </row>
    <row r="28" spans="2:20" x14ac:dyDescent="0.2">
      <c r="B28" s="1" t="s">
        <v>143</v>
      </c>
    </row>
    <row r="29" spans="2:20" x14ac:dyDescent="0.2">
      <c r="B29" s="119" t="s">
        <v>143</v>
      </c>
      <c r="F29" s="2" t="s">
        <v>530</v>
      </c>
      <c r="H29" s="53">
        <v>3.7191999999999998</v>
      </c>
      <c r="R29" s="2" t="s">
        <v>532</v>
      </c>
    </row>
    <row r="30" spans="2:20" x14ac:dyDescent="0.2">
      <c r="B30" s="119" t="s">
        <v>531</v>
      </c>
      <c r="H30" s="53">
        <v>3.78541178</v>
      </c>
    </row>
    <row r="31" spans="2:20" x14ac:dyDescent="0.2">
      <c r="B31" s="2" t="s">
        <v>143</v>
      </c>
      <c r="F31" s="2" t="s">
        <v>144</v>
      </c>
      <c r="H31" s="74">
        <f>H29/H30</f>
        <v>0.98250869816863085</v>
      </c>
      <c r="N31" s="18"/>
    </row>
    <row r="33" spans="1:20" s="8" customFormat="1" ht="12.75" customHeight="1" x14ac:dyDescent="0.2">
      <c r="B33" s="8" t="s">
        <v>458</v>
      </c>
    </row>
    <row r="34" spans="1:20" ht="12.75" customHeight="1" x14ac:dyDescent="0.2"/>
    <row r="35" spans="1:20" ht="12.75" customHeight="1" x14ac:dyDescent="0.2">
      <c r="B35" s="19" t="s">
        <v>123</v>
      </c>
    </row>
    <row r="36" spans="1:20" s="20" customFormat="1" ht="12.75" customHeight="1" x14ac:dyDescent="0.2">
      <c r="A36" s="2"/>
      <c r="B36" s="20" t="s">
        <v>36</v>
      </c>
      <c r="F36" s="20" t="s">
        <v>124</v>
      </c>
      <c r="L36" s="20" t="s">
        <v>125</v>
      </c>
      <c r="M36" s="20" t="s">
        <v>126</v>
      </c>
      <c r="N36" s="20" t="s">
        <v>127</v>
      </c>
      <c r="O36" s="20" t="s">
        <v>128</v>
      </c>
      <c r="P36" s="20" t="s">
        <v>127</v>
      </c>
    </row>
    <row r="37" spans="1:20" ht="12.75" customHeight="1" x14ac:dyDescent="0.2">
      <c r="B37" s="2" t="s">
        <v>129</v>
      </c>
      <c r="F37" s="2" t="s">
        <v>124</v>
      </c>
      <c r="L37" s="42">
        <v>16328808</v>
      </c>
      <c r="M37" s="42">
        <v>18218.78</v>
      </c>
      <c r="N37" s="42">
        <v>187656</v>
      </c>
      <c r="O37" s="42">
        <v>1036.1666666666667</v>
      </c>
      <c r="P37" s="42">
        <v>6147.1999999999989</v>
      </c>
      <c r="R37" s="2" t="s">
        <v>130</v>
      </c>
      <c r="T37" s="2" t="s">
        <v>567</v>
      </c>
    </row>
    <row r="38" spans="1:20" ht="12.75" customHeight="1" x14ac:dyDescent="0.2">
      <c r="B38" s="2" t="s">
        <v>564</v>
      </c>
      <c r="F38" s="2" t="s">
        <v>125</v>
      </c>
      <c r="L38" s="35">
        <v>656374</v>
      </c>
      <c r="M38" s="48"/>
      <c r="N38" s="48"/>
      <c r="O38" s="48"/>
      <c r="P38" s="48"/>
      <c r="R38" s="2" t="s">
        <v>566</v>
      </c>
    </row>
    <row r="39" spans="1:20" ht="12.75" customHeight="1" x14ac:dyDescent="0.2">
      <c r="B39" s="2" t="s">
        <v>565</v>
      </c>
      <c r="F39" s="2" t="s">
        <v>125</v>
      </c>
      <c r="L39" s="36">
        <f>L37-L38</f>
        <v>15672434</v>
      </c>
      <c r="M39" s="48"/>
      <c r="N39" s="48"/>
      <c r="O39" s="48"/>
      <c r="P39" s="48"/>
      <c r="T39" s="2" t="s">
        <v>568</v>
      </c>
    </row>
    <row r="40" spans="1:20" ht="12.75" customHeight="1" x14ac:dyDescent="0.2"/>
    <row r="41" spans="1:20" ht="12.75" customHeight="1" x14ac:dyDescent="0.2">
      <c r="B41" s="2" t="s">
        <v>348</v>
      </c>
      <c r="F41" s="2" t="s">
        <v>88</v>
      </c>
      <c r="L41" s="60"/>
      <c r="M41" s="113">
        <v>9.6593510378510203E-2</v>
      </c>
      <c r="N41" s="60"/>
      <c r="O41" s="113">
        <v>0.39205620923391699</v>
      </c>
      <c r="P41" s="60"/>
      <c r="R41" s="2" t="s">
        <v>526</v>
      </c>
    </row>
    <row r="42" spans="1:20" ht="12.75" customHeight="1" x14ac:dyDescent="0.2">
      <c r="L42" s="13"/>
      <c r="M42" s="13"/>
      <c r="N42" s="13"/>
      <c r="O42" s="13"/>
      <c r="R42" s="13"/>
      <c r="T42" s="13"/>
    </row>
    <row r="43" spans="1:20" ht="12.75" customHeight="1" x14ac:dyDescent="0.2">
      <c r="B43" s="1" t="s">
        <v>161</v>
      </c>
      <c r="L43" s="13"/>
      <c r="M43" s="13"/>
      <c r="N43" s="13"/>
      <c r="O43" s="63"/>
      <c r="R43" s="13"/>
      <c r="T43" s="13"/>
    </row>
    <row r="44" spans="1:20" ht="12.75" customHeight="1" x14ac:dyDescent="0.2">
      <c r="B44" s="2" t="s">
        <v>162</v>
      </c>
      <c r="F44" s="2" t="s">
        <v>163</v>
      </c>
      <c r="H44" s="13"/>
      <c r="L44" s="60"/>
      <c r="M44" s="60"/>
      <c r="N44" s="62"/>
      <c r="O44" s="42">
        <v>189</v>
      </c>
      <c r="P44" s="62"/>
      <c r="R44" s="2" t="s">
        <v>555</v>
      </c>
      <c r="T44" s="13"/>
    </row>
    <row r="45" spans="1:20" ht="12.75" customHeight="1" x14ac:dyDescent="0.2">
      <c r="B45" s="2" t="s">
        <v>165</v>
      </c>
      <c r="F45" s="2" t="s">
        <v>108</v>
      </c>
      <c r="H45" s="13"/>
      <c r="L45" s="60"/>
      <c r="M45" s="60"/>
      <c r="N45" s="61"/>
      <c r="O45" s="35">
        <v>259.37591529472002</v>
      </c>
      <c r="P45" s="62"/>
      <c r="R45" s="2" t="s">
        <v>166</v>
      </c>
      <c r="T45" s="2" t="s">
        <v>167</v>
      </c>
    </row>
    <row r="46" spans="1:20" ht="12.75" customHeight="1" x14ac:dyDescent="0.2">
      <c r="B46" s="2" t="s">
        <v>168</v>
      </c>
      <c r="F46" s="2" t="s">
        <v>108</v>
      </c>
      <c r="H46" s="13"/>
      <c r="L46" s="48"/>
      <c r="M46" s="48"/>
      <c r="N46" s="62"/>
      <c r="O46" s="64">
        <f>O45*O44</f>
        <v>49022.047990702085</v>
      </c>
      <c r="P46" s="62"/>
      <c r="R46" s="13"/>
      <c r="T46" s="2" t="s">
        <v>169</v>
      </c>
    </row>
    <row r="48" spans="1:20" x14ac:dyDescent="0.2">
      <c r="B48" s="1" t="s">
        <v>461</v>
      </c>
      <c r="T48" s="18"/>
    </row>
    <row r="49" spans="2:20" x14ac:dyDescent="0.2">
      <c r="B49" s="2" t="s">
        <v>349</v>
      </c>
      <c r="F49" s="2" t="s">
        <v>127</v>
      </c>
      <c r="O49" s="102">
        <v>185627.12899999999</v>
      </c>
      <c r="P49" s="60"/>
      <c r="R49" s="2" t="s">
        <v>194</v>
      </c>
      <c r="T49" s="13"/>
    </row>
    <row r="50" spans="2:20" x14ac:dyDescent="0.2">
      <c r="B50" s="2" t="s">
        <v>350</v>
      </c>
      <c r="F50" s="2" t="s">
        <v>88</v>
      </c>
      <c r="O50" s="60"/>
      <c r="P50" s="103">
        <f>P37/(O49+P37)</f>
        <v>3.2054342372382902E-2</v>
      </c>
    </row>
    <row r="52" spans="2:20" s="8" customFormat="1" ht="12.75" customHeight="1" x14ac:dyDescent="0.2">
      <c r="B52" s="8" t="s">
        <v>459</v>
      </c>
      <c r="L52" s="59"/>
      <c r="N52" s="59"/>
    </row>
    <row r="53" spans="2:20" ht="12.75" customHeight="1" x14ac:dyDescent="0.2">
      <c r="L53" s="13"/>
      <c r="N53" s="13"/>
    </row>
    <row r="54" spans="2:20" ht="12.75" customHeight="1" x14ac:dyDescent="0.2">
      <c r="B54" s="1" t="s">
        <v>153</v>
      </c>
      <c r="H54" s="13"/>
      <c r="L54" s="13"/>
      <c r="N54" s="13"/>
    </row>
    <row r="55" spans="2:20" ht="12.75" customHeight="1" x14ac:dyDescent="0.2">
      <c r="B55" s="2" t="s">
        <v>154</v>
      </c>
      <c r="F55" s="2" t="s">
        <v>155</v>
      </c>
      <c r="L55" s="48"/>
      <c r="M55" s="48"/>
      <c r="N55" s="48"/>
      <c r="O55" s="35">
        <v>275.97597387358206</v>
      </c>
      <c r="P55" s="48"/>
      <c r="R55" s="2" t="s">
        <v>590</v>
      </c>
    </row>
    <row r="56" spans="2:20" ht="12.75" customHeight="1" x14ac:dyDescent="0.2">
      <c r="B56" s="2" t="s">
        <v>156</v>
      </c>
      <c r="F56" s="2" t="s">
        <v>155</v>
      </c>
      <c r="L56" s="48"/>
      <c r="M56" s="48"/>
      <c r="N56" s="48"/>
      <c r="O56" s="35">
        <v>191.6617702608896</v>
      </c>
      <c r="P56" s="48"/>
      <c r="R56" s="2" t="s">
        <v>591</v>
      </c>
    </row>
    <row r="57" spans="2:20" x14ac:dyDescent="0.2">
      <c r="H57" s="13"/>
      <c r="N57" s="13"/>
      <c r="R57" s="13"/>
    </row>
    <row r="58" spans="2:20" ht="12.75" customHeight="1" x14ac:dyDescent="0.2">
      <c r="B58" s="2" t="s">
        <v>157</v>
      </c>
      <c r="F58" s="2" t="s">
        <v>155</v>
      </c>
      <c r="L58" s="48"/>
      <c r="M58" s="35">
        <v>308.83379299885058</v>
      </c>
      <c r="N58" s="48"/>
      <c r="O58" s="48"/>
      <c r="P58" s="48"/>
      <c r="R58" s="2" t="s">
        <v>592</v>
      </c>
    </row>
    <row r="59" spans="2:20" ht="12.75" customHeight="1" x14ac:dyDescent="0.2">
      <c r="B59" s="2" t="s">
        <v>158</v>
      </c>
      <c r="F59" s="2" t="s">
        <v>155</v>
      </c>
      <c r="L59" s="48"/>
      <c r="M59" s="35">
        <v>191.6617702608896</v>
      </c>
      <c r="N59" s="48"/>
      <c r="O59" s="48"/>
      <c r="P59" s="48"/>
      <c r="R59" s="2" t="s">
        <v>593</v>
      </c>
    </row>
    <row r="60" spans="2:20" ht="12.75" customHeight="1" x14ac:dyDescent="0.2">
      <c r="B60" s="2" t="s">
        <v>159</v>
      </c>
      <c r="F60" s="2" t="s">
        <v>155</v>
      </c>
      <c r="L60" s="48"/>
      <c r="M60" s="35">
        <v>208.07476547780604</v>
      </c>
      <c r="N60" s="48"/>
      <c r="O60" s="48"/>
      <c r="P60" s="48"/>
      <c r="R60" s="2" t="s">
        <v>594</v>
      </c>
    </row>
    <row r="61" spans="2:20" ht="12.75" customHeight="1" x14ac:dyDescent="0.2">
      <c r="N61" s="13"/>
      <c r="R61" s="13"/>
    </row>
    <row r="62" spans="2:20" ht="12.75" customHeight="1" x14ac:dyDescent="0.2">
      <c r="B62" s="2" t="s">
        <v>160</v>
      </c>
      <c r="F62" s="2" t="s">
        <v>155</v>
      </c>
      <c r="L62" s="48"/>
      <c r="M62" s="35">
        <v>40</v>
      </c>
      <c r="N62" s="48"/>
      <c r="O62" s="35">
        <v>40</v>
      </c>
      <c r="P62" s="48"/>
      <c r="R62" s="2" t="s">
        <v>595</v>
      </c>
    </row>
    <row r="65" spans="2:2" x14ac:dyDescent="0.2">
      <c r="B65" s="4" t="s">
        <v>65</v>
      </c>
    </row>
  </sheetData>
  <phoneticPr fontId="31" type="noConversion"/>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AEB561-8F95-4A6A-B3A7-F07857E0C764}">
  <sheetPr>
    <tabColor rgb="FFE1FFE1"/>
  </sheetPr>
  <dimension ref="A2:T78"/>
  <sheetViews>
    <sheetView showGridLines="0" zoomScale="85" zoomScaleNormal="85" workbookViewId="0">
      <pane xSplit="6" ySplit="9" topLeftCell="G10" activePane="bottomRight" state="frozen"/>
      <selection activeCell="R6" sqref="R6"/>
      <selection pane="topRight" activeCell="R6" sqref="R6"/>
      <selection pane="bottomLeft" activeCell="R6" sqref="R6"/>
      <selection pane="bottomRight" activeCell="G10" sqref="G10"/>
    </sheetView>
  </sheetViews>
  <sheetFormatPr defaultColWidth="9.140625" defaultRowHeight="12.75" x14ac:dyDescent="0.2"/>
  <cols>
    <col min="1" max="1" width="4" style="2" customWidth="1"/>
    <col min="2" max="2" width="50.7109375" style="2" customWidth="1"/>
    <col min="3" max="5" width="4.5703125" style="2" customWidth="1"/>
    <col min="6" max="6" width="13.7109375" style="2" customWidth="1"/>
    <col min="7" max="7" width="2.7109375" style="2" customWidth="1"/>
    <col min="8" max="8" width="13.7109375" style="2" customWidth="1"/>
    <col min="9" max="9" width="2.7109375" style="2" customWidth="1"/>
    <col min="10" max="10" width="13.7109375" style="2" customWidth="1"/>
    <col min="11" max="11" width="2.7109375" style="2" customWidth="1"/>
    <col min="12" max="16" width="21.7109375" style="2" customWidth="1"/>
    <col min="17" max="17" width="2.7109375" style="2" customWidth="1"/>
    <col min="18" max="18" width="58.5703125" style="2" customWidth="1"/>
    <col min="19" max="19" width="2.7109375" style="2" customWidth="1"/>
    <col min="20" max="20" width="13.7109375" style="2" customWidth="1"/>
    <col min="21" max="21" width="2.7109375" style="2" customWidth="1"/>
    <col min="22" max="36" width="13.7109375" style="2" customWidth="1"/>
    <col min="37" max="16384" width="9.140625" style="2"/>
  </cols>
  <sheetData>
    <row r="2" spans="2:20" s="12" customFormat="1" ht="18" x14ac:dyDescent="0.2">
      <c r="B2" s="12" t="s">
        <v>468</v>
      </c>
    </row>
    <row r="4" spans="2:20" x14ac:dyDescent="0.2">
      <c r="B4" s="1" t="s">
        <v>102</v>
      </c>
      <c r="C4" s="1"/>
      <c r="D4" s="1"/>
    </row>
    <row r="5" spans="2:20" x14ac:dyDescent="0.2">
      <c r="B5" s="2" t="s">
        <v>556</v>
      </c>
      <c r="C5" s="3"/>
      <c r="D5" s="3"/>
      <c r="H5" s="13"/>
    </row>
    <row r="6" spans="2:20" x14ac:dyDescent="0.2">
      <c r="C6" s="3"/>
      <c r="D6" s="3"/>
      <c r="H6" s="13"/>
    </row>
    <row r="8" spans="2:20" s="8" customFormat="1" x14ac:dyDescent="0.2">
      <c r="B8" s="8" t="s">
        <v>103</v>
      </c>
      <c r="F8" s="8" t="s">
        <v>104</v>
      </c>
      <c r="H8" s="8" t="s">
        <v>105</v>
      </c>
      <c r="J8" s="8" t="s">
        <v>106</v>
      </c>
      <c r="L8" s="8" t="s">
        <v>72</v>
      </c>
      <c r="M8" s="8" t="s">
        <v>73</v>
      </c>
      <c r="N8" s="8" t="s">
        <v>74</v>
      </c>
      <c r="O8" s="8" t="s">
        <v>75</v>
      </c>
      <c r="P8" s="8" t="s">
        <v>76</v>
      </c>
      <c r="R8" s="8" t="s">
        <v>40</v>
      </c>
      <c r="T8" s="8" t="s">
        <v>39</v>
      </c>
    </row>
    <row r="11" spans="2:20" s="8" customFormat="1" x14ac:dyDescent="0.2">
      <c r="B11" s="8" t="s">
        <v>351</v>
      </c>
    </row>
    <row r="13" spans="2:20" ht="12.75" customHeight="1" x14ac:dyDescent="0.2">
      <c r="B13" s="54" t="s">
        <v>145</v>
      </c>
      <c r="C13" s="34"/>
      <c r="D13" s="34"/>
      <c r="E13" s="34"/>
      <c r="R13" s="13"/>
      <c r="T13" s="13"/>
    </row>
    <row r="14" spans="2:20" ht="12.75" customHeight="1" x14ac:dyDescent="0.2">
      <c r="B14" s="2" t="s">
        <v>146</v>
      </c>
      <c r="F14" s="2" t="s">
        <v>127</v>
      </c>
      <c r="L14" s="10"/>
      <c r="M14" s="55"/>
      <c r="N14" s="42">
        <v>197952.55799999996</v>
      </c>
      <c r="O14" s="46"/>
      <c r="P14" s="10"/>
      <c r="R14" s="2" t="s">
        <v>147</v>
      </c>
      <c r="T14" s="13"/>
    </row>
    <row r="15" spans="2:20" ht="12.75" customHeight="1" x14ac:dyDescent="0.2">
      <c r="B15" s="34"/>
      <c r="C15" s="34"/>
      <c r="D15" s="34"/>
      <c r="E15" s="34"/>
      <c r="F15" s="34"/>
      <c r="G15" s="34"/>
      <c r="M15" s="13"/>
      <c r="N15" s="13"/>
      <c r="O15" s="13"/>
      <c r="R15" s="13"/>
      <c r="T15" s="13"/>
    </row>
    <row r="16" spans="2:20" ht="12.75" customHeight="1" x14ac:dyDescent="0.2">
      <c r="B16" s="1" t="s">
        <v>150</v>
      </c>
      <c r="M16" s="13"/>
      <c r="N16" s="13"/>
      <c r="O16" s="13"/>
      <c r="R16" s="13"/>
      <c r="T16" s="13"/>
    </row>
    <row r="17" spans="1:20" ht="12.75" customHeight="1" x14ac:dyDescent="0.2">
      <c r="B17" s="2" t="s">
        <v>151</v>
      </c>
      <c r="F17" s="2" t="s">
        <v>88</v>
      </c>
      <c r="L17" s="48"/>
      <c r="M17" s="56">
        <v>0.12</v>
      </c>
      <c r="N17" s="57"/>
      <c r="O17" s="56">
        <v>0.22</v>
      </c>
      <c r="P17" s="58"/>
      <c r="R17" s="2" t="s">
        <v>152</v>
      </c>
      <c r="T17" s="13"/>
    </row>
    <row r="18" spans="1:20" x14ac:dyDescent="0.2">
      <c r="B18" s="1"/>
    </row>
    <row r="19" spans="1:20" ht="12.75" customHeight="1" x14ac:dyDescent="0.2">
      <c r="B19" s="1" t="s">
        <v>131</v>
      </c>
      <c r="R19" s="13"/>
    </row>
    <row r="20" spans="1:20" ht="12.75" customHeight="1" x14ac:dyDescent="0.2">
      <c r="B20" s="2" t="s">
        <v>132</v>
      </c>
      <c r="F20" s="2" t="s">
        <v>133</v>
      </c>
      <c r="L20" s="42">
        <v>7999999.9999999702</v>
      </c>
      <c r="M20" s="48"/>
      <c r="N20" s="48"/>
      <c r="O20" s="48"/>
      <c r="P20" s="48"/>
      <c r="R20" s="2" t="s">
        <v>134</v>
      </c>
    </row>
    <row r="21" spans="1:20" ht="12.75" customHeight="1" x14ac:dyDescent="0.2">
      <c r="B21" s="2" t="s">
        <v>135</v>
      </c>
      <c r="F21" s="2" t="s">
        <v>133</v>
      </c>
      <c r="L21" s="42">
        <v>8551729.9979999885</v>
      </c>
      <c r="M21" s="48"/>
      <c r="N21" s="48"/>
      <c r="O21" s="48"/>
      <c r="P21" s="48"/>
      <c r="R21" s="2" t="s">
        <v>134</v>
      </c>
    </row>
    <row r="22" spans="1:20" ht="12.75" customHeight="1" x14ac:dyDescent="0.2">
      <c r="B22" s="2" t="s">
        <v>136</v>
      </c>
      <c r="F22" s="2" t="s">
        <v>133</v>
      </c>
      <c r="L22" s="41">
        <f>L20+L21</f>
        <v>16551729.997999959</v>
      </c>
      <c r="M22" s="48"/>
      <c r="N22" s="48"/>
      <c r="O22" s="48"/>
      <c r="P22" s="48"/>
      <c r="R22" s="13"/>
    </row>
    <row r="23" spans="1:20" ht="12.75" customHeight="1" x14ac:dyDescent="0.2">
      <c r="B23" s="2" t="s">
        <v>137</v>
      </c>
      <c r="F23" s="2" t="s">
        <v>133</v>
      </c>
      <c r="L23" s="49">
        <v>7779312.9999999851</v>
      </c>
      <c r="M23" s="48"/>
      <c r="N23" s="48"/>
      <c r="O23" s="48"/>
      <c r="P23" s="48"/>
      <c r="R23" s="2" t="s">
        <v>134</v>
      </c>
    </row>
    <row r="24" spans="1:20" ht="12.75" customHeight="1" x14ac:dyDescent="0.2">
      <c r="B24" s="2" t="s">
        <v>138</v>
      </c>
      <c r="F24" s="2" t="s">
        <v>88</v>
      </c>
      <c r="L24" s="50">
        <f>L21/L22</f>
        <v>0.51666683778875944</v>
      </c>
      <c r="M24" s="48"/>
      <c r="N24" s="48"/>
      <c r="O24" s="48"/>
      <c r="P24" s="48"/>
      <c r="R24" s="13"/>
    </row>
    <row r="25" spans="1:20" ht="12.75" customHeight="1" x14ac:dyDescent="0.2"/>
    <row r="26" spans="1:20" ht="12.75" customHeight="1" x14ac:dyDescent="0.2">
      <c r="B26" s="1" t="s">
        <v>462</v>
      </c>
      <c r="R26" s="13"/>
      <c r="T26" s="13"/>
    </row>
    <row r="27" spans="1:20" ht="12.75" customHeight="1" x14ac:dyDescent="0.2">
      <c r="B27" s="2" t="s">
        <v>463</v>
      </c>
      <c r="F27" s="2" t="s">
        <v>127</v>
      </c>
      <c r="L27" s="10"/>
      <c r="M27" s="10"/>
      <c r="N27" s="10"/>
      <c r="O27" s="10"/>
      <c r="P27" s="42">
        <v>1979.52558</v>
      </c>
      <c r="R27" s="13"/>
      <c r="T27" s="13"/>
    </row>
    <row r="28" spans="1:20" s="20" customFormat="1" ht="12.75" customHeight="1" x14ac:dyDescent="0.2">
      <c r="A28" s="2"/>
      <c r="B28" s="2" t="s">
        <v>464</v>
      </c>
      <c r="C28" s="2"/>
      <c r="D28" s="2"/>
      <c r="E28" s="2"/>
      <c r="F28" s="2" t="s">
        <v>88</v>
      </c>
      <c r="L28" s="65"/>
      <c r="M28" s="65"/>
      <c r="N28" s="65"/>
      <c r="O28" s="65"/>
      <c r="P28" s="114">
        <f>P27/(N14*(1-O17))</f>
        <v>1.2820512820512822E-2</v>
      </c>
      <c r="R28" s="2" t="s">
        <v>170</v>
      </c>
      <c r="T28" s="66"/>
    </row>
    <row r="29" spans="1:20" ht="12.75" customHeight="1" x14ac:dyDescent="0.2">
      <c r="R29" s="13"/>
      <c r="T29" s="13"/>
    </row>
    <row r="30" spans="1:20" s="8" customFormat="1" ht="12.75" customHeight="1" x14ac:dyDescent="0.2">
      <c r="B30" s="8" t="s">
        <v>497</v>
      </c>
      <c r="R30" s="59"/>
      <c r="T30" s="59"/>
    </row>
    <row r="31" spans="1:20" ht="12.75" customHeight="1" x14ac:dyDescent="0.2">
      <c r="R31" s="13"/>
      <c r="T31" s="13"/>
    </row>
    <row r="32" spans="1:20" ht="12.75" customHeight="1" x14ac:dyDescent="0.2">
      <c r="B32" s="1" t="s">
        <v>456</v>
      </c>
    </row>
    <row r="33" spans="2:20" ht="12.75" customHeight="1" x14ac:dyDescent="0.2">
      <c r="B33" s="2" t="s">
        <v>467</v>
      </c>
      <c r="F33" s="2" t="s">
        <v>139</v>
      </c>
      <c r="L33" s="51">
        <v>3046562</v>
      </c>
      <c r="M33" s="48"/>
      <c r="N33" s="48"/>
      <c r="O33" s="48"/>
      <c r="P33" s="48"/>
      <c r="R33" s="2" t="s">
        <v>140</v>
      </c>
    </row>
    <row r="34" spans="2:20" ht="12.75" customHeight="1" x14ac:dyDescent="0.2">
      <c r="B34" s="2" t="s">
        <v>466</v>
      </c>
      <c r="F34" s="2" t="s">
        <v>133</v>
      </c>
      <c r="L34" s="51">
        <v>11027671</v>
      </c>
      <c r="M34" s="48"/>
      <c r="N34" s="48"/>
      <c r="O34" s="48"/>
      <c r="P34" s="48"/>
      <c r="R34" s="2" t="s">
        <v>141</v>
      </c>
    </row>
    <row r="35" spans="2:20" ht="12.75" customHeight="1" x14ac:dyDescent="0.2">
      <c r="B35" s="2" t="s">
        <v>297</v>
      </c>
      <c r="F35" s="2" t="s">
        <v>142</v>
      </c>
      <c r="L35" s="52">
        <f>L33/L34</f>
        <v>0.27626522408947457</v>
      </c>
      <c r="M35" s="48"/>
      <c r="N35" s="48"/>
      <c r="O35" s="48"/>
      <c r="P35" s="48"/>
      <c r="R35" s="13"/>
    </row>
    <row r="36" spans="2:20" ht="12.75" customHeight="1" x14ac:dyDescent="0.2">
      <c r="R36" s="13"/>
    </row>
    <row r="37" spans="2:20" ht="12.75" customHeight="1" x14ac:dyDescent="0.2">
      <c r="B37" s="1" t="s">
        <v>498</v>
      </c>
      <c r="R37" s="13"/>
    </row>
    <row r="38" spans="2:20" ht="12.75" customHeight="1" x14ac:dyDescent="0.2">
      <c r="B38" s="2" t="s">
        <v>499</v>
      </c>
      <c r="F38" s="2" t="s">
        <v>127</v>
      </c>
      <c r="L38" s="10"/>
      <c r="M38" s="55"/>
      <c r="N38" s="26">
        <f>'Historical data'!N37</f>
        <v>187656</v>
      </c>
      <c r="O38" s="46"/>
      <c r="P38" s="10"/>
      <c r="R38" s="13"/>
    </row>
    <row r="39" spans="2:20" ht="12.75" customHeight="1" x14ac:dyDescent="0.2">
      <c r="B39" s="2" t="s">
        <v>500</v>
      </c>
      <c r="F39" s="2" t="s">
        <v>125</v>
      </c>
      <c r="L39" s="10"/>
      <c r="M39" s="55"/>
      <c r="N39" s="42">
        <v>846566</v>
      </c>
      <c r="O39" s="46"/>
      <c r="P39" s="10"/>
      <c r="R39" s="2" t="s">
        <v>543</v>
      </c>
      <c r="T39" s="2" t="s">
        <v>544</v>
      </c>
    </row>
    <row r="40" spans="2:20" ht="12.75" customHeight="1" x14ac:dyDescent="0.2">
      <c r="B40" s="2" t="s">
        <v>148</v>
      </c>
      <c r="F40" s="2" t="s">
        <v>149</v>
      </c>
      <c r="L40" s="10"/>
      <c r="M40" s="55"/>
      <c r="N40" s="36">
        <f>N39/N38</f>
        <v>4.511265293942107</v>
      </c>
      <c r="O40" s="46"/>
      <c r="P40" s="10"/>
      <c r="T40" s="13"/>
    </row>
    <row r="41" spans="2:20" ht="12.75" customHeight="1" x14ac:dyDescent="0.2">
      <c r="B41" s="1"/>
      <c r="R41" s="13"/>
    </row>
    <row r="42" spans="2:20" s="8" customFormat="1" ht="12.75" customHeight="1" x14ac:dyDescent="0.2">
      <c r="B42" s="8" t="s">
        <v>171</v>
      </c>
      <c r="R42" s="59"/>
      <c r="T42" s="59"/>
    </row>
    <row r="43" spans="2:20" ht="12.75" customHeight="1" x14ac:dyDescent="0.2">
      <c r="R43" s="13"/>
      <c r="T43" s="13"/>
    </row>
    <row r="44" spans="2:20" ht="12.75" customHeight="1" x14ac:dyDescent="0.2">
      <c r="B44" s="4" t="s">
        <v>172</v>
      </c>
      <c r="R44" s="13"/>
      <c r="T44" s="13"/>
    </row>
    <row r="45" spans="2:20" ht="12.75" customHeight="1" x14ac:dyDescent="0.2">
      <c r="B45" s="4"/>
      <c r="R45" s="13"/>
      <c r="T45" s="13"/>
    </row>
    <row r="46" spans="2:20" ht="12.75" customHeight="1" x14ac:dyDescent="0.2">
      <c r="B46" s="1" t="s">
        <v>173</v>
      </c>
      <c r="M46" s="1" t="s">
        <v>174</v>
      </c>
      <c r="R46" s="13"/>
      <c r="T46" s="13"/>
    </row>
    <row r="47" spans="2:20" ht="12.75" customHeight="1" x14ac:dyDescent="0.2">
      <c r="B47" s="69">
        <v>3.2</v>
      </c>
      <c r="F47" s="2" t="s">
        <v>163</v>
      </c>
      <c r="L47" s="65"/>
      <c r="M47" s="42">
        <v>215</v>
      </c>
      <c r="N47" s="65"/>
      <c r="O47" s="65"/>
      <c r="P47" s="65"/>
      <c r="R47" s="2" t="s">
        <v>545</v>
      </c>
      <c r="T47" s="119" t="s">
        <v>546</v>
      </c>
    </row>
    <row r="48" spans="2:20" ht="12.75" customHeight="1" x14ac:dyDescent="0.2">
      <c r="B48" s="69">
        <v>7.7</v>
      </c>
      <c r="F48" s="2" t="s">
        <v>163</v>
      </c>
      <c r="L48" s="65"/>
      <c r="M48" s="42">
        <v>1474.0789004867358</v>
      </c>
      <c r="N48" s="65"/>
      <c r="O48" s="65"/>
      <c r="P48" s="65"/>
      <c r="R48" s="13"/>
    </row>
    <row r="49" spans="2:18" ht="12.75" customHeight="1" x14ac:dyDescent="0.2">
      <c r="B49" s="69">
        <v>11</v>
      </c>
      <c r="F49" s="2" t="s">
        <v>163</v>
      </c>
      <c r="L49" s="65"/>
      <c r="M49" s="42">
        <v>115</v>
      </c>
      <c r="N49" s="65"/>
      <c r="O49" s="65"/>
      <c r="P49" s="65"/>
      <c r="R49" s="13"/>
    </row>
    <row r="50" spans="2:18" ht="12.75" customHeight="1" x14ac:dyDescent="0.2">
      <c r="B50" s="69">
        <v>13.86</v>
      </c>
      <c r="F50" s="2" t="s">
        <v>163</v>
      </c>
      <c r="L50" s="65"/>
      <c r="M50" s="42">
        <v>38.906666666666673</v>
      </c>
      <c r="N50" s="65"/>
      <c r="O50" s="65"/>
      <c r="P50" s="65"/>
      <c r="R50" s="13"/>
    </row>
    <row r="51" spans="2:18" ht="12.75" customHeight="1" x14ac:dyDescent="0.2">
      <c r="B51" s="69">
        <v>13.3</v>
      </c>
      <c r="F51" s="2" t="s">
        <v>163</v>
      </c>
      <c r="L51" s="65"/>
      <c r="M51" s="42">
        <v>27</v>
      </c>
      <c r="N51" s="65"/>
      <c r="O51" s="65"/>
      <c r="P51" s="65"/>
      <c r="R51" s="13"/>
    </row>
    <row r="52" spans="2:18" ht="12.75" customHeight="1" x14ac:dyDescent="0.2">
      <c r="B52" s="69">
        <v>19</v>
      </c>
      <c r="F52" s="2" t="s">
        <v>163</v>
      </c>
      <c r="L52" s="65"/>
      <c r="M52" s="42">
        <v>25.916666666666668</v>
      </c>
      <c r="N52" s="65"/>
      <c r="O52" s="65"/>
      <c r="P52" s="65"/>
      <c r="R52" s="13"/>
    </row>
    <row r="53" spans="2:18" ht="12.75" customHeight="1" x14ac:dyDescent="0.2">
      <c r="B53" s="69">
        <v>23.94</v>
      </c>
      <c r="F53" s="2" t="s">
        <v>163</v>
      </c>
      <c r="L53" s="65"/>
      <c r="M53" s="42">
        <v>40</v>
      </c>
      <c r="N53" s="65"/>
      <c r="O53" s="65"/>
      <c r="P53" s="65"/>
      <c r="R53" s="13"/>
    </row>
    <row r="54" spans="2:18" ht="12.75" customHeight="1" x14ac:dyDescent="0.2">
      <c r="B54" s="69">
        <v>30.4</v>
      </c>
      <c r="F54" s="2" t="s">
        <v>163</v>
      </c>
      <c r="L54" s="65"/>
      <c r="M54" s="42">
        <v>12.916666666666666</v>
      </c>
      <c r="N54" s="65"/>
      <c r="O54" s="65"/>
      <c r="P54" s="65"/>
      <c r="R54" s="13"/>
    </row>
    <row r="55" spans="2:18" ht="12.75" customHeight="1" x14ac:dyDescent="0.2">
      <c r="B55" s="69">
        <v>38</v>
      </c>
      <c r="F55" s="2" t="s">
        <v>163</v>
      </c>
      <c r="L55" s="65"/>
      <c r="M55" s="42">
        <v>11</v>
      </c>
      <c r="N55" s="65"/>
      <c r="O55" s="65"/>
      <c r="P55" s="65"/>
      <c r="R55" s="13"/>
    </row>
    <row r="56" spans="2:18" ht="12.75" customHeight="1" x14ac:dyDescent="0.2">
      <c r="B56" s="69">
        <v>47.5</v>
      </c>
      <c r="F56" s="2" t="s">
        <v>163</v>
      </c>
      <c r="L56" s="65"/>
      <c r="M56" s="42">
        <v>14</v>
      </c>
      <c r="N56" s="65"/>
      <c r="O56" s="65"/>
      <c r="P56" s="65"/>
      <c r="R56" s="13"/>
    </row>
    <row r="57" spans="2:18" ht="12.75" customHeight="1" x14ac:dyDescent="0.2">
      <c r="B57" s="69">
        <v>60.8</v>
      </c>
      <c r="F57" s="2" t="s">
        <v>163</v>
      </c>
      <c r="L57" s="65"/>
      <c r="M57" s="42">
        <v>4</v>
      </c>
      <c r="N57" s="65"/>
      <c r="O57" s="65"/>
      <c r="P57" s="65"/>
      <c r="R57" s="13"/>
    </row>
    <row r="58" spans="2:18" ht="12.75" customHeight="1" x14ac:dyDescent="0.2">
      <c r="B58" s="69">
        <v>76</v>
      </c>
      <c r="F58" s="2" t="s">
        <v>163</v>
      </c>
      <c r="L58" s="65"/>
      <c r="M58" s="42">
        <v>4</v>
      </c>
      <c r="N58" s="65"/>
      <c r="O58" s="65"/>
      <c r="P58" s="65"/>
      <c r="R58" s="13"/>
    </row>
    <row r="59" spans="2:18" ht="12.75" customHeight="1" x14ac:dyDescent="0.2">
      <c r="B59" s="69">
        <v>85.5</v>
      </c>
      <c r="F59" s="2" t="s">
        <v>163</v>
      </c>
      <c r="L59" s="65"/>
      <c r="M59" s="42">
        <v>3</v>
      </c>
      <c r="N59" s="65"/>
      <c r="O59" s="65"/>
      <c r="P59" s="65"/>
      <c r="R59" s="13"/>
    </row>
    <row r="60" spans="2:18" ht="12.75" customHeight="1" x14ac:dyDescent="0.2">
      <c r="B60" s="69">
        <v>95</v>
      </c>
      <c r="F60" s="2" t="s">
        <v>163</v>
      </c>
      <c r="L60" s="65"/>
      <c r="M60" s="42">
        <v>2</v>
      </c>
      <c r="N60" s="65"/>
      <c r="O60" s="65"/>
      <c r="P60" s="65"/>
      <c r="R60" s="13"/>
    </row>
    <row r="61" spans="2:18" ht="12.75" customHeight="1" x14ac:dyDescent="0.2">
      <c r="B61" s="69">
        <v>119.7</v>
      </c>
      <c r="F61" s="2" t="s">
        <v>163</v>
      </c>
      <c r="L61" s="65"/>
      <c r="M61" s="42">
        <v>1</v>
      </c>
      <c r="N61" s="65"/>
      <c r="O61" s="65"/>
      <c r="P61" s="65"/>
      <c r="R61" s="13"/>
    </row>
    <row r="62" spans="2:18" ht="12.75" customHeight="1" x14ac:dyDescent="0.2">
      <c r="B62" s="69">
        <v>175</v>
      </c>
      <c r="F62" s="2" t="s">
        <v>163</v>
      </c>
      <c r="L62" s="65"/>
      <c r="M62" s="42">
        <v>0</v>
      </c>
      <c r="N62" s="65"/>
      <c r="O62" s="65"/>
      <c r="P62" s="65"/>
      <c r="R62" s="13"/>
    </row>
    <row r="63" spans="2:18" ht="12.75" customHeight="1" x14ac:dyDescent="0.2">
      <c r="B63" s="69">
        <v>200</v>
      </c>
      <c r="F63" s="2" t="s">
        <v>163</v>
      </c>
      <c r="L63" s="65"/>
      <c r="M63" s="42">
        <v>3</v>
      </c>
      <c r="N63" s="65"/>
      <c r="O63" s="65"/>
      <c r="P63" s="65"/>
      <c r="R63" s="13"/>
    </row>
    <row r="64" spans="2:18" ht="12.75" customHeight="1" x14ac:dyDescent="0.2">
      <c r="R64" s="13"/>
    </row>
    <row r="65" spans="2:20" ht="12.75" customHeight="1" x14ac:dyDescent="0.2">
      <c r="B65" s="2" t="s">
        <v>175</v>
      </c>
      <c r="F65" s="2" t="s">
        <v>126</v>
      </c>
      <c r="L65" s="65"/>
      <c r="M65" s="41">
        <f>SUMPRODUCT(B47:B63,M47:M63)</f>
        <v>18840.837267081202</v>
      </c>
      <c r="N65" s="65"/>
      <c r="O65" s="65"/>
      <c r="P65" s="65"/>
      <c r="R65" s="13"/>
    </row>
    <row r="66" spans="2:20" ht="12.75" customHeight="1" x14ac:dyDescent="0.2">
      <c r="R66" s="13"/>
    </row>
    <row r="67" spans="2:20" ht="12.75" customHeight="1" x14ac:dyDescent="0.2">
      <c r="B67" s="1" t="s">
        <v>176</v>
      </c>
      <c r="R67" s="13"/>
    </row>
    <row r="68" spans="2:20" ht="12.75" customHeight="1" x14ac:dyDescent="0.2">
      <c r="B68" s="2" t="s">
        <v>177</v>
      </c>
      <c r="F68" s="2" t="s">
        <v>163</v>
      </c>
      <c r="L68" s="65"/>
      <c r="M68" s="65"/>
      <c r="N68" s="65"/>
      <c r="O68" s="42">
        <v>1149.8493807187922</v>
      </c>
      <c r="P68" s="65"/>
      <c r="R68" s="2" t="s">
        <v>178</v>
      </c>
    </row>
    <row r="69" spans="2:20" ht="11.25" customHeight="1" x14ac:dyDescent="0.2"/>
    <row r="71" spans="2:20" x14ac:dyDescent="0.2">
      <c r="B71" s="4" t="s">
        <v>65</v>
      </c>
    </row>
    <row r="73" spans="2:20" ht="12.75" customHeight="1" x14ac:dyDescent="0.2">
      <c r="R73" s="13"/>
      <c r="T73" s="13"/>
    </row>
    <row r="74" spans="2:20" ht="12.75" customHeight="1" x14ac:dyDescent="0.2">
      <c r="R74" s="13"/>
      <c r="T74" s="13"/>
    </row>
    <row r="75" spans="2:20" ht="12.75" customHeight="1" x14ac:dyDescent="0.2">
      <c r="B75" s="67"/>
      <c r="F75" s="67"/>
      <c r="H75" s="68"/>
      <c r="R75" s="13"/>
      <c r="T75" s="13"/>
    </row>
    <row r="78" spans="2:20" x14ac:dyDescent="0.2">
      <c r="B78" s="1"/>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EE3DDC-7D0F-4935-9BA6-2AD2237794BC}">
  <sheetPr>
    <tabColor rgb="FFE1FFE1"/>
  </sheetPr>
  <dimension ref="B2:T55"/>
  <sheetViews>
    <sheetView showGridLines="0" zoomScale="85" zoomScaleNormal="85" workbookViewId="0">
      <pane xSplit="6" ySplit="15" topLeftCell="G16" activePane="bottomRight" state="frozen"/>
      <selection activeCell="O39" sqref="O39"/>
      <selection pane="topRight" activeCell="O39" sqref="O39"/>
      <selection pane="bottomLeft" activeCell="O39" sqref="O39"/>
      <selection pane="bottomRight" activeCell="G16" sqref="G16"/>
    </sheetView>
  </sheetViews>
  <sheetFormatPr defaultColWidth="9.140625" defaultRowHeight="12.75" x14ac:dyDescent="0.2"/>
  <cols>
    <col min="1" max="1" width="4" style="2" customWidth="1"/>
    <col min="2" max="2" width="50.7109375" style="2" customWidth="1"/>
    <col min="3" max="5" width="4.5703125" style="2" customWidth="1"/>
    <col min="6" max="6" width="13.7109375" style="2" customWidth="1"/>
    <col min="7" max="7" width="2.7109375" style="2" customWidth="1"/>
    <col min="8" max="8" width="13.7109375" style="2" customWidth="1"/>
    <col min="9" max="9" width="2.7109375" style="2" customWidth="1"/>
    <col min="10" max="10" width="13.7109375" style="2" customWidth="1"/>
    <col min="11" max="11" width="2.7109375" style="2" customWidth="1"/>
    <col min="12" max="16" width="21.7109375" style="2" customWidth="1"/>
    <col min="17" max="17" width="2.7109375" style="2" customWidth="1"/>
    <col min="18" max="18" width="58.5703125" style="2" customWidth="1"/>
    <col min="19" max="19" width="2.7109375" style="2" customWidth="1"/>
    <col min="20" max="20" width="13.7109375" style="2" customWidth="1"/>
    <col min="21" max="21" width="2.7109375" style="2" customWidth="1"/>
    <col min="22" max="36" width="13.7109375" style="2" customWidth="1"/>
    <col min="37" max="16384" width="9.140625" style="2"/>
  </cols>
  <sheetData>
    <row r="2" spans="2:20" s="12" customFormat="1" ht="18" x14ac:dyDescent="0.2">
      <c r="B2" s="12" t="s">
        <v>719</v>
      </c>
    </row>
    <row r="4" spans="2:20" x14ac:dyDescent="0.2">
      <c r="B4" s="19" t="s">
        <v>12</v>
      </c>
      <c r="C4" s="1"/>
      <c r="D4" s="1"/>
    </row>
    <row r="5" spans="2:20" x14ac:dyDescent="0.2">
      <c r="B5" s="2" t="s">
        <v>721</v>
      </c>
      <c r="H5" s="13"/>
    </row>
    <row r="6" spans="2:20" x14ac:dyDescent="0.2">
      <c r="B6" s="2" t="s">
        <v>733</v>
      </c>
      <c r="H6" s="13"/>
    </row>
    <row r="7" spans="2:20" x14ac:dyDescent="0.2">
      <c r="B7" s="2" t="s">
        <v>734</v>
      </c>
      <c r="H7" s="13"/>
    </row>
    <row r="8" spans="2:20" x14ac:dyDescent="0.2">
      <c r="B8" s="2" t="s">
        <v>720</v>
      </c>
      <c r="H8" s="13"/>
    </row>
    <row r="9" spans="2:20" x14ac:dyDescent="0.2">
      <c r="H9" s="13"/>
    </row>
    <row r="10" spans="2:20" x14ac:dyDescent="0.2">
      <c r="B10" s="20" t="s">
        <v>694</v>
      </c>
      <c r="H10" s="13"/>
    </row>
    <row r="11" spans="2:20" x14ac:dyDescent="0.2">
      <c r="B11" s="4" t="s">
        <v>726</v>
      </c>
    </row>
    <row r="12" spans="2:20" x14ac:dyDescent="0.2">
      <c r="B12" s="4" t="s">
        <v>725</v>
      </c>
    </row>
    <row r="14" spans="2:20" s="8" customFormat="1" x14ac:dyDescent="0.2">
      <c r="B14" s="8" t="s">
        <v>103</v>
      </c>
      <c r="F14" s="8" t="s">
        <v>104</v>
      </c>
      <c r="H14" s="8" t="s">
        <v>105</v>
      </c>
      <c r="J14" s="8" t="s">
        <v>106</v>
      </c>
      <c r="L14" s="8" t="s">
        <v>72</v>
      </c>
      <c r="M14" s="8" t="s">
        <v>73</v>
      </c>
      <c r="N14" s="8" t="s">
        <v>74</v>
      </c>
      <c r="O14" s="8" t="s">
        <v>75</v>
      </c>
      <c r="P14" s="8" t="s">
        <v>76</v>
      </c>
      <c r="R14" s="8" t="s">
        <v>40</v>
      </c>
      <c r="T14" s="8" t="s">
        <v>39</v>
      </c>
    </row>
    <row r="17" spans="2:18" s="8" customFormat="1" x14ac:dyDescent="0.2">
      <c r="B17" s="8" t="s">
        <v>1</v>
      </c>
    </row>
    <row r="19" spans="2:18" x14ac:dyDescent="0.2">
      <c r="B19" s="2" t="s">
        <v>695</v>
      </c>
      <c r="F19" s="2" t="s">
        <v>88</v>
      </c>
      <c r="L19" s="97">
        <f>Parameters!H40</f>
        <v>6.4600000000000005E-2</v>
      </c>
    </row>
    <row r="21" spans="2:18" x14ac:dyDescent="0.2">
      <c r="B21" s="19" t="s">
        <v>696</v>
      </c>
    </row>
    <row r="22" spans="2:18" x14ac:dyDescent="0.2">
      <c r="B22" s="2" t="s">
        <v>697</v>
      </c>
      <c r="F22" s="2" t="s">
        <v>114</v>
      </c>
      <c r="L22" s="25">
        <v>10910300</v>
      </c>
      <c r="R22" s="2" t="s">
        <v>722</v>
      </c>
    </row>
    <row r="23" spans="2:18" x14ac:dyDescent="0.2">
      <c r="B23" s="2" t="s">
        <v>698</v>
      </c>
      <c r="F23" s="2" t="s">
        <v>114</v>
      </c>
      <c r="L23" s="25">
        <v>10100000</v>
      </c>
      <c r="R23" s="2" t="s">
        <v>722</v>
      </c>
    </row>
    <row r="24" spans="2:18" x14ac:dyDescent="0.2">
      <c r="B24" s="2" t="s">
        <v>699</v>
      </c>
      <c r="F24" s="2" t="s">
        <v>114</v>
      </c>
      <c r="L24" s="27">
        <f>L22-L23</f>
        <v>810300</v>
      </c>
    </row>
    <row r="25" spans="2:18" x14ac:dyDescent="0.2">
      <c r="B25" s="2" t="s">
        <v>700</v>
      </c>
      <c r="L25" s="167">
        <v>45383</v>
      </c>
      <c r="R25" s="2" t="s">
        <v>722</v>
      </c>
    </row>
    <row r="26" spans="2:18" x14ac:dyDescent="0.2">
      <c r="B26" s="2" t="s">
        <v>701</v>
      </c>
      <c r="F26" s="2" t="s">
        <v>88</v>
      </c>
      <c r="L26" s="168">
        <v>7.0000000000000007E-2</v>
      </c>
      <c r="R26" s="2" t="s">
        <v>722</v>
      </c>
    </row>
    <row r="28" spans="2:18" x14ac:dyDescent="0.2">
      <c r="B28" s="1" t="s">
        <v>702</v>
      </c>
    </row>
    <row r="29" spans="2:18" x14ac:dyDescent="0.2">
      <c r="B29" s="2" t="s">
        <v>703</v>
      </c>
      <c r="L29" s="25">
        <v>650000</v>
      </c>
      <c r="R29" s="2" t="s">
        <v>722</v>
      </c>
    </row>
    <row r="30" spans="2:18" x14ac:dyDescent="0.2">
      <c r="B30" s="2" t="s">
        <v>704</v>
      </c>
      <c r="L30" s="167">
        <v>45108</v>
      </c>
      <c r="R30" s="2" t="s">
        <v>727</v>
      </c>
    </row>
    <row r="31" spans="2:18" x14ac:dyDescent="0.2">
      <c r="B31" s="2" t="s">
        <v>701</v>
      </c>
      <c r="F31" s="2" t="s">
        <v>88</v>
      </c>
      <c r="L31" s="169">
        <f>1/25</f>
        <v>0.04</v>
      </c>
      <c r="R31" s="2" t="s">
        <v>728</v>
      </c>
    </row>
    <row r="33" spans="2:12" s="8" customFormat="1" x14ac:dyDescent="0.2">
      <c r="B33" s="8" t="s">
        <v>732</v>
      </c>
    </row>
    <row r="35" spans="2:12" x14ac:dyDescent="0.2">
      <c r="B35" s="1" t="s">
        <v>705</v>
      </c>
    </row>
    <row r="36" spans="2:12" x14ac:dyDescent="0.2">
      <c r="B36" s="2" t="s">
        <v>706</v>
      </c>
      <c r="F36" s="2" t="s">
        <v>114</v>
      </c>
      <c r="L36" s="27">
        <f>L24*L26</f>
        <v>56721.000000000007</v>
      </c>
    </row>
    <row r="37" spans="2:12" x14ac:dyDescent="0.2">
      <c r="B37" s="2" t="s">
        <v>707</v>
      </c>
      <c r="F37" s="2" t="s">
        <v>114</v>
      </c>
      <c r="L37" s="27">
        <f>((DATE(2025,1,1)-L25)/365.25)*L36</f>
        <v>42705.749486652981</v>
      </c>
    </row>
    <row r="38" spans="2:12" x14ac:dyDescent="0.2">
      <c r="B38" s="2" t="s">
        <v>708</v>
      </c>
      <c r="F38" s="2" t="s">
        <v>114</v>
      </c>
      <c r="L38" s="27">
        <f>L24-L37</f>
        <v>767594.25051334698</v>
      </c>
    </row>
    <row r="39" spans="2:12" x14ac:dyDescent="0.2">
      <c r="B39" s="2" t="s">
        <v>709</v>
      </c>
      <c r="F39" s="2" t="s">
        <v>114</v>
      </c>
      <c r="L39" s="27">
        <f>AVERAGE(L24,L38)</f>
        <v>788947.12525667343</v>
      </c>
    </row>
    <row r="40" spans="2:12" x14ac:dyDescent="0.2">
      <c r="B40" s="2" t="s">
        <v>710</v>
      </c>
      <c r="F40" s="2" t="s">
        <v>711</v>
      </c>
      <c r="L40" s="27">
        <f>((DATE(2025,1,1)-L25)/365.25)*12</f>
        <v>9.0349075975359341</v>
      </c>
    </row>
    <row r="41" spans="2:12" x14ac:dyDescent="0.2">
      <c r="B41" s="2" t="s">
        <v>712</v>
      </c>
      <c r="F41" s="2" t="s">
        <v>114</v>
      </c>
      <c r="L41" s="27">
        <f>L39*(L40/12)</f>
        <v>594005.36466963775</v>
      </c>
    </row>
    <row r="42" spans="2:12" x14ac:dyDescent="0.2">
      <c r="B42" s="2" t="s">
        <v>713</v>
      </c>
      <c r="F42" s="2" t="s">
        <v>114</v>
      </c>
      <c r="L42" s="27">
        <f>L41*L19+L37</f>
        <v>81078.496044311585</v>
      </c>
    </row>
    <row r="44" spans="2:12" x14ac:dyDescent="0.2">
      <c r="B44" s="1" t="s">
        <v>714</v>
      </c>
    </row>
    <row r="45" spans="2:12" x14ac:dyDescent="0.2">
      <c r="B45" s="2" t="s">
        <v>706</v>
      </c>
      <c r="F45" s="2" t="s">
        <v>114</v>
      </c>
      <c r="L45" s="27">
        <f>L29*L31</f>
        <v>26000</v>
      </c>
    </row>
    <row r="46" spans="2:12" x14ac:dyDescent="0.2">
      <c r="B46" s="2" t="s">
        <v>715</v>
      </c>
      <c r="F46" s="2" t="s">
        <v>114</v>
      </c>
      <c r="L46" s="27">
        <f>((DATE(2024,1,1)-L30)/365.25)*L45</f>
        <v>13097.878165639971</v>
      </c>
    </row>
    <row r="47" spans="2:12" x14ac:dyDescent="0.2">
      <c r="B47" s="2" t="s">
        <v>716</v>
      </c>
      <c r="F47" s="2" t="s">
        <v>114</v>
      </c>
      <c r="L47" s="27">
        <f>L29-L46</f>
        <v>636902.12183436006</v>
      </c>
    </row>
    <row r="48" spans="2:12" x14ac:dyDescent="0.2">
      <c r="B48" s="2" t="s">
        <v>717</v>
      </c>
      <c r="F48" s="2" t="s">
        <v>114</v>
      </c>
      <c r="L48" s="27">
        <f>L47-L45</f>
        <v>610902.12183436006</v>
      </c>
    </row>
    <row r="49" spans="2:18" x14ac:dyDescent="0.2">
      <c r="B49" s="2" t="s">
        <v>709</v>
      </c>
      <c r="F49" s="2" t="s">
        <v>114</v>
      </c>
      <c r="L49" s="27">
        <f>AVERAGE(L48,L47)</f>
        <v>623902.12183436006</v>
      </c>
    </row>
    <row r="50" spans="2:18" x14ac:dyDescent="0.2">
      <c r="B50" s="2" t="s">
        <v>718</v>
      </c>
      <c r="F50" s="2" t="s">
        <v>114</v>
      </c>
      <c r="L50" s="27">
        <f>L49*L19+L45</f>
        <v>66304.077070499654</v>
      </c>
    </row>
    <row r="52" spans="2:18" x14ac:dyDescent="0.2">
      <c r="B52" s="2" t="s">
        <v>730</v>
      </c>
      <c r="F52" s="2" t="s">
        <v>114</v>
      </c>
      <c r="L52" s="21">
        <f>L50+L42</f>
        <v>147382.57311481124</v>
      </c>
      <c r="R52" s="2" t="s">
        <v>723</v>
      </c>
    </row>
    <row r="55" spans="2:18" x14ac:dyDescent="0.2">
      <c r="B55" s="4" t="s">
        <v>65</v>
      </c>
    </row>
  </sheetData>
  <phoneticPr fontId="31" type="noConversion"/>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dlc_DocId xmlns="5e7bef76-b888-41a2-a261-5f525b37d47e">ECT67VDXDTCW-640230012-2</_dlc_DocId>
    <_dlc_DocIdUrl xmlns="5e7bef76-b888-41a2-a261-5f525b37d47e">
      <Url>https://intranet.acm.local/project/excellent-in-excel/_layouts/15/DocIdRedir.aspx?ID=ECT67VDXDTCW-640230012-2</Url>
      <Description>ECT67VDXDTCW-640230012-2</Description>
    </_dlc_DocIdUrl>
    <Status xmlns="94b38974-1436-4631-a0be-797faa579778">Actueel</Statu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F459BCFB3BA7984093AF6B5FDACCE3FF" ma:contentTypeVersion="3" ma:contentTypeDescription="Een nieuw document maken." ma:contentTypeScope="" ma:versionID="5ca2a2452ccfef2a6add69ec11766239">
  <xsd:schema xmlns:xsd="http://www.w3.org/2001/XMLSchema" xmlns:xs="http://www.w3.org/2001/XMLSchema" xmlns:p="http://schemas.microsoft.com/office/2006/metadata/properties" xmlns:ns2="5e7bef76-b888-41a2-a261-5f525b37d47e" xmlns:ns3="94b38974-1436-4631-a0be-797faa579778" targetNamespace="http://schemas.microsoft.com/office/2006/metadata/properties" ma:root="true" ma:fieldsID="5142b64c9d09e650d70bec54211324f3" ns2:_="" ns3:_="">
    <xsd:import namespace="5e7bef76-b888-41a2-a261-5f525b37d47e"/>
    <xsd:import namespace="94b38974-1436-4631-a0be-797faa579778"/>
    <xsd:element name="properties">
      <xsd:complexType>
        <xsd:sequence>
          <xsd:element name="documentManagement">
            <xsd:complexType>
              <xsd:all>
                <xsd:element ref="ns2:_dlc_DocId" minOccurs="0"/>
                <xsd:element ref="ns2:_dlc_DocIdUrl" minOccurs="0"/>
                <xsd:element ref="ns2:_dlc_DocIdPersistId" minOccurs="0"/>
                <xsd:element ref="ns3: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e7bef76-b888-41a2-a261-5f525b37d47e" elementFormDefault="qualified">
    <xsd:import namespace="http://schemas.microsoft.com/office/2006/documentManagement/types"/>
    <xsd:import namespace="http://schemas.microsoft.com/office/infopath/2007/PartnerControls"/>
    <xsd:element name="_dlc_DocId" ma:index="8" nillable="true" ma:displayName="Waarde van de document-id" ma:description="De waarde van de document-id die aan dit item is toegewezen." ma:internalName="_dlc_DocId" ma:readOnly="true">
      <xsd:simpleType>
        <xsd:restriction base="dms:Text"/>
      </xsd:simpleType>
    </xsd:element>
    <xsd:element name="_dlc_DocIdUrl" ma:index="9" nillable="true" ma:displayName="Document-id" ma:description="Permanente koppeling naar dit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94b38974-1436-4631-a0be-797faa579778" elementFormDefault="qualified">
    <xsd:import namespace="http://schemas.microsoft.com/office/2006/documentManagement/types"/>
    <xsd:import namespace="http://schemas.microsoft.com/office/infopath/2007/PartnerControls"/>
    <xsd:element name="Status" ma:index="11" nillable="true" ma:displayName="Status" ma:default="Actueel" ma:format="RadioButtons" ma:internalName="Status">
      <xsd:simpleType>
        <xsd:restriction base="dms:Choice">
          <xsd:enumeration value="Actueel"/>
          <xsd:enumeration value="Archief"/>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7"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9CDAB9D1-B815-4B0E-93E7-4496A7FE99F6}">
  <ds:schemaRefs>
    <ds:schemaRef ds:uri="http://schemas.microsoft.com/office/2006/metadata/properties"/>
    <ds:schemaRef ds:uri="http://schemas.microsoft.com/office/infopath/2007/PartnerControls"/>
    <ds:schemaRef ds:uri="5e7bef76-b888-41a2-a261-5f525b37d47e"/>
    <ds:schemaRef ds:uri="94b38974-1436-4631-a0be-797faa579778"/>
  </ds:schemaRefs>
</ds:datastoreItem>
</file>

<file path=customXml/itemProps2.xml><?xml version="1.0" encoding="utf-8"?>
<ds:datastoreItem xmlns:ds="http://schemas.openxmlformats.org/officeDocument/2006/customXml" ds:itemID="{BDF34196-3C60-4FBD-A6D7-F3FCE358BA5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e7bef76-b888-41a2-a261-5f525b37d47e"/>
    <ds:schemaRef ds:uri="94b38974-1436-4631-a0be-797faa57977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2835401-F49D-4D00-8F07-BF5788AC8903}">
  <ds:schemaRefs>
    <ds:schemaRef ds:uri="http://schemas.microsoft.com/sharepoint/v3/contenttype/forms"/>
  </ds:schemaRefs>
</ds:datastoreItem>
</file>

<file path=customXml/itemProps4.xml><?xml version="1.0" encoding="utf-8"?>
<ds:datastoreItem xmlns:ds="http://schemas.openxmlformats.org/officeDocument/2006/customXml" ds:itemID="{29821432-9D6D-4FB8-B669-75517133F53E}">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24</vt:i4>
      </vt:variant>
    </vt:vector>
  </HeadingPairs>
  <TitlesOfParts>
    <vt:vector size="24" baseType="lpstr">
      <vt:lpstr>Cover sheet</vt:lpstr>
      <vt:lpstr>Explanation</vt:lpstr>
      <vt:lpstr>Sources and specifics</vt:lpstr>
      <vt:lpstr>Result</vt:lpstr>
      <vt:lpstr>Input --&gt;</vt:lpstr>
      <vt:lpstr>Parameters</vt:lpstr>
      <vt:lpstr>Historical data</vt:lpstr>
      <vt:lpstr>Estimates for 2024</vt:lpstr>
      <vt:lpstr>Major occurrences</vt:lpstr>
      <vt:lpstr>Data on corrections</vt:lpstr>
      <vt:lpstr>Calculations corrections --&gt;</vt:lpstr>
      <vt:lpstr>Volume-effect 2022</vt:lpstr>
      <vt:lpstr>Profit Sharing 2022</vt:lpstr>
      <vt:lpstr>Energy cost correction 2023</vt:lpstr>
      <vt:lpstr>Capital cost correction</vt:lpstr>
      <vt:lpstr>Overview corrections</vt:lpstr>
      <vt:lpstr>Calculations tariffs --&gt;</vt:lpstr>
      <vt:lpstr>Calculation cost base 2024</vt:lpstr>
      <vt:lpstr>Electricity Production</vt:lpstr>
      <vt:lpstr>Electricity Distribution</vt:lpstr>
      <vt:lpstr>Water Production</vt:lpstr>
      <vt:lpstr>Water Distribution</vt:lpstr>
      <vt:lpstr>Dictum&amp;Bijlage 1 Electricity EN</vt:lpstr>
      <vt:lpstr>Dictum&amp;Bijlage 1 Water EN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2018-05-15T11:27:11Z</dcterms:created>
  <dcterms:modified xsi:type="dcterms:W3CDTF">2023-12-20T09:04:01Z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0x010100F459BCFB3BA7984093AF6B5FDACCE3FF</vt:lpwstr>
  </property>
  <property fmtid="{D5CDD505-2E9C-101B-9397-08002B2CF9AE}" pid="3" name="_dlc_DocIdItemGuid">
    <vt:lpwstr>e0efd16f-45ee-4b9d-aa02-521177c04c12</vt:lpwstr>
  </property>
</Properties>
</file>